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rda\Dropbox\Marketing Department Files\Website\Fedmet Website\"/>
    </mc:Choice>
  </mc:AlternateContent>
  <xr:revisionPtr revIDLastSave="0" documentId="13_ncr:1_{2DC96165-B175-4BEB-B250-95D17EE2B196}" xr6:coauthVersionLast="45" xr6:coauthVersionMax="45" xr10:uidLastSave="{00000000-0000-0000-0000-000000000000}"/>
  <bookViews>
    <workbookView xWindow="-110" yWindow="-110" windowWidth="19420" windowHeight="10420" tabRatio="720" xr2:uid="{00000000-000D-0000-FFFF-FFFF00000000}"/>
  </bookViews>
  <sheets>
    <sheet name="RATIO" sheetId="1" r:id="rId1"/>
    <sheet name="BEST COMBINATION" sheetId="2" state="hidden" r:id="rId2"/>
    <sheet name="COMBINATIONS" sheetId="3" r:id="rId3"/>
    <sheet name="1 ET 2" sheetId="4" state="hidden" r:id="rId4"/>
    <sheet name="3 ET 4" sheetId="5" state="hidden" r:id="rId5"/>
    <sheet name="SIZE" sheetId="6" r:id="rId6"/>
    <sheet name="TABLE" sheetId="7" r:id="rId7"/>
    <sheet name="Module1" sheetId="8" state="veryHidden" r:id="rId8"/>
    <sheet name="Module2" sheetId="9" state="veryHidden" r:id="rId9"/>
    <sheet name="Module3" sheetId="10" state="veryHidden" r:id="rId10"/>
  </sheets>
  <definedNames>
    <definedName name="_Regression_Int" localSheetId="0" hidden="1">1</definedName>
    <definedName name="COMB_ISO">COMBINATIONS!$C$5:$E$21</definedName>
    <definedName name="COMB_VDZ">COMBINATIONS!$F$5:$H$21</definedName>
    <definedName name="ISO">RATIO!$BJ$7:$BM$13</definedName>
    <definedName name="_xlnm.Print_Area" localSheetId="1">'BEST COMBINATION'!$A$1:$M$23</definedName>
    <definedName name="_xlnm.Print_Area" localSheetId="0">RATIO!$A$1:$BH$27</definedName>
    <definedName name="_xlnm.Print_Area" localSheetId="5">SIZE!$A$1:$I$61</definedName>
    <definedName name="_xlnm.Print_Area" localSheetId="6">TABLE!$A$1:$AI$44</definedName>
    <definedName name="Print_Area_MI" localSheetId="0">RATIO!$B$9:$E$43</definedName>
    <definedName name="SHAPE">SIZE!$A$2:$J$68</definedName>
    <definedName name="VDZ">RATIO!$BN$7:$BQ$13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" i="4" l="1"/>
  <c r="B14" i="4"/>
  <c r="B15" i="4" s="1"/>
  <c r="B16" i="4" s="1"/>
  <c r="F4" i="2"/>
  <c r="N4" i="2" s="1"/>
  <c r="C11" i="5" s="1"/>
  <c r="F3" i="2"/>
  <c r="N3" i="2" s="1"/>
  <c r="D12" i="2"/>
  <c r="D13" i="2" s="1"/>
  <c r="D14" i="2" s="1"/>
  <c r="D5" i="4" s="1"/>
  <c r="C12" i="2"/>
  <c r="C13" i="2" s="1"/>
  <c r="C14" i="2" s="1"/>
  <c r="C5" i="4" s="1"/>
  <c r="F12" i="2"/>
  <c r="F13" i="2" s="1"/>
  <c r="F14" i="2" s="1"/>
  <c r="AC5" i="4" s="1"/>
  <c r="G12" i="2"/>
  <c r="G13" i="2" s="1"/>
  <c r="G14" i="2" s="1"/>
  <c r="AD5" i="4" s="1"/>
  <c r="AB14" i="5"/>
  <c r="B14" i="5"/>
  <c r="B15" i="5" s="1"/>
  <c r="B16" i="5" s="1"/>
  <c r="B17" i="5" s="1"/>
  <c r="B18" i="5" s="1"/>
  <c r="C10" i="5"/>
  <c r="M12" i="2"/>
  <c r="M13" i="2" s="1"/>
  <c r="M14" i="2" s="1"/>
  <c r="AD5" i="5" s="1"/>
  <c r="L12" i="2"/>
  <c r="L13" i="2" s="1"/>
  <c r="L14" i="2" s="1"/>
  <c r="AC5" i="5" s="1"/>
  <c r="J12" i="2"/>
  <c r="J13" i="2"/>
  <c r="J14" i="2" s="1"/>
  <c r="D5" i="5" s="1"/>
  <c r="I12" i="2"/>
  <c r="I13" i="2" s="1"/>
  <c r="I14" i="2" s="1"/>
  <c r="C5" i="5" s="1"/>
  <c r="N1" i="2"/>
  <c r="B19" i="2" s="1"/>
  <c r="F13" i="3"/>
  <c r="F17" i="3"/>
  <c r="F18" i="3" s="1"/>
  <c r="F19" i="3" s="1"/>
  <c r="F20" i="3" s="1"/>
  <c r="F12" i="3"/>
  <c r="F11" i="3"/>
  <c r="F10" i="3"/>
  <c r="F9" i="3"/>
  <c r="F8" i="3"/>
  <c r="F7" i="3"/>
  <c r="F6" i="3"/>
  <c r="F5" i="3"/>
  <c r="CF5" i="1"/>
  <c r="BC11" i="1"/>
  <c r="C4" i="1"/>
  <c r="C5" i="1" s="1"/>
  <c r="BD9" i="1"/>
  <c r="BD6" i="1" s="1"/>
  <c r="B13" i="1"/>
  <c r="B14" i="1" s="1"/>
  <c r="B15" i="1" s="1"/>
  <c r="B16" i="1" s="1"/>
  <c r="B17" i="1" s="1"/>
  <c r="BH3" i="1"/>
  <c r="C9" i="1" s="1"/>
  <c r="BH4" i="1"/>
  <c r="C10" i="1" s="1"/>
  <c r="D4" i="1"/>
  <c r="D6" i="1" s="1"/>
  <c r="D5" i="1"/>
  <c r="D7" i="1"/>
  <c r="BF9" i="1"/>
  <c r="BG12" i="1" s="1"/>
  <c r="CF7" i="1"/>
  <c r="BB11" i="1"/>
  <c r="BB26" i="1"/>
  <c r="BF10" i="1"/>
  <c r="BC15" i="1"/>
  <c r="BB15" i="1"/>
  <c r="BI3" i="1"/>
  <c r="C6" i="1"/>
  <c r="BG13" i="1" l="1"/>
  <c r="BD13" i="1"/>
  <c r="C7" i="1"/>
  <c r="BH13" i="1" s="1"/>
  <c r="C8" i="5"/>
  <c r="C6" i="5"/>
  <c r="S4" i="1"/>
  <c r="S6" i="1" s="1"/>
  <c r="D7" i="5"/>
  <c r="D8" i="5"/>
  <c r="D6" i="5"/>
  <c r="AC8" i="5"/>
  <c r="AC7" i="5"/>
  <c r="AC6" i="5"/>
  <c r="B18" i="1"/>
  <c r="AD7" i="5"/>
  <c r="AD6" i="5"/>
  <c r="AD8" i="5"/>
  <c r="B19" i="5"/>
  <c r="AD6" i="4"/>
  <c r="AD7" i="4"/>
  <c r="AD8" i="4"/>
  <c r="AC10" i="4"/>
  <c r="AC10" i="5"/>
  <c r="C10" i="4"/>
  <c r="B17" i="4"/>
  <c r="C7" i="5"/>
  <c r="AC7" i="4"/>
  <c r="AC6" i="4"/>
  <c r="AC8" i="4"/>
  <c r="C7" i="4"/>
  <c r="C8" i="4"/>
  <c r="C6" i="4"/>
  <c r="D8" i="4"/>
  <c r="D7" i="4"/>
  <c r="D6" i="4"/>
  <c r="C11" i="4"/>
  <c r="AC11" i="5"/>
  <c r="AC11" i="4"/>
  <c r="G5" i="5"/>
  <c r="S5" i="1" l="1"/>
  <c r="B9" i="5"/>
  <c r="E7" i="1"/>
  <c r="BD10" i="1"/>
  <c r="B8" i="1"/>
  <c r="BA14" i="1" s="1"/>
  <c r="BD11" i="1"/>
  <c r="H5" i="5"/>
  <c r="R4" i="1"/>
  <c r="G6" i="5"/>
  <c r="G7" i="5"/>
  <c r="S7" i="1"/>
  <c r="G5" i="4"/>
  <c r="G7" i="4" s="1"/>
  <c r="H5" i="4"/>
  <c r="H7" i="4" s="1"/>
  <c r="B9" i="4"/>
  <c r="AB9" i="4"/>
  <c r="B18" i="4"/>
  <c r="B20" i="5"/>
  <c r="B19" i="1"/>
  <c r="AG5" i="4"/>
  <c r="AG7" i="4" s="1"/>
  <c r="AH5" i="4"/>
  <c r="AH7" i="4" s="1"/>
  <c r="AH5" i="5"/>
  <c r="AH7" i="5" s="1"/>
  <c r="AG5" i="5"/>
  <c r="AG7" i="5" s="1"/>
  <c r="AB9" i="5"/>
  <c r="R6" i="1" l="1"/>
  <c r="R5" i="1"/>
  <c r="H7" i="5"/>
  <c r="H6" i="5"/>
  <c r="G20" i="5" s="1"/>
  <c r="C20" i="5" s="1"/>
  <c r="B20" i="1"/>
  <c r="G8" i="5"/>
  <c r="H50" i="5"/>
  <c r="AH6" i="5"/>
  <c r="AG6" i="4"/>
  <c r="G6" i="4"/>
  <c r="G18" i="5"/>
  <c r="C18" i="5" s="1"/>
  <c r="G54" i="5"/>
  <c r="G56" i="5"/>
  <c r="B21" i="5"/>
  <c r="H20" i="5"/>
  <c r="B19" i="4"/>
  <c r="AG6" i="5"/>
  <c r="AH6" i="4"/>
  <c r="AG14" i="4" s="1"/>
  <c r="AC14" i="4" s="1"/>
  <c r="H6" i="4"/>
  <c r="G50" i="5"/>
  <c r="G52" i="5"/>
  <c r="G49" i="5"/>
  <c r="G53" i="5"/>
  <c r="G16" i="5" l="1"/>
  <c r="C16" i="5" s="1"/>
  <c r="G19" i="5"/>
  <c r="C19" i="5" s="1"/>
  <c r="H56" i="5"/>
  <c r="G17" i="5"/>
  <c r="C17" i="5" s="1"/>
  <c r="G15" i="5"/>
  <c r="C15" i="5" s="1"/>
  <c r="G55" i="5"/>
  <c r="G57" i="5"/>
  <c r="I57" i="5" s="1"/>
  <c r="G14" i="5"/>
  <c r="C14" i="5" s="1"/>
  <c r="C57" i="5" s="1"/>
  <c r="G51" i="5"/>
  <c r="H53" i="5"/>
  <c r="I53" i="5" s="1"/>
  <c r="H57" i="5"/>
  <c r="S17" i="1"/>
  <c r="R55" i="1"/>
  <c r="R13" i="1"/>
  <c r="C13" i="1" s="1"/>
  <c r="BB12" i="1" s="1"/>
  <c r="BB13" i="1" s="1"/>
  <c r="S15" i="1"/>
  <c r="S50" i="1"/>
  <c r="R50" i="1"/>
  <c r="R49" i="1"/>
  <c r="R7" i="1"/>
  <c r="BA29" i="1" s="1" a="1"/>
  <c r="R18" i="1"/>
  <c r="C18" i="1" s="1"/>
  <c r="S55" i="1"/>
  <c r="T55" i="1" s="1"/>
  <c r="R52" i="1"/>
  <c r="R53" i="1"/>
  <c r="S54" i="1"/>
  <c r="S14" i="1"/>
  <c r="R54" i="1"/>
  <c r="R14" i="1"/>
  <c r="C14" i="1" s="1"/>
  <c r="S53" i="1"/>
  <c r="S16" i="1"/>
  <c r="R56" i="1"/>
  <c r="R15" i="1"/>
  <c r="C15" i="1" s="1"/>
  <c r="S52" i="1"/>
  <c r="R51" i="1"/>
  <c r="R17" i="1"/>
  <c r="C17" i="1" s="1"/>
  <c r="S51" i="1"/>
  <c r="T51" i="1" s="1"/>
  <c r="S18" i="1"/>
  <c r="R16" i="1"/>
  <c r="C16" i="1" s="1"/>
  <c r="S13" i="1"/>
  <c r="S49" i="1"/>
  <c r="R48" i="1"/>
  <c r="S56" i="1"/>
  <c r="S48" i="1"/>
  <c r="R19" i="1"/>
  <c r="C19" i="1" s="1"/>
  <c r="H52" i="5"/>
  <c r="H17" i="5"/>
  <c r="I17" i="5" s="1"/>
  <c r="H51" i="5"/>
  <c r="I51" i="5" s="1"/>
  <c r="H18" i="5"/>
  <c r="I18" i="5" s="1"/>
  <c r="H55" i="5"/>
  <c r="I55" i="5" s="1"/>
  <c r="H49" i="5"/>
  <c r="H14" i="5"/>
  <c r="H19" i="5"/>
  <c r="D19" i="5" s="1"/>
  <c r="E19" i="5" s="1"/>
  <c r="H15" i="5"/>
  <c r="I15" i="5" s="1"/>
  <c r="H54" i="5"/>
  <c r="I54" i="5" s="1"/>
  <c r="S19" i="1"/>
  <c r="D19" i="1" s="1"/>
  <c r="H18" i="4"/>
  <c r="D18" i="4" s="1"/>
  <c r="H16" i="5"/>
  <c r="I16" i="5" s="1"/>
  <c r="AC57" i="4"/>
  <c r="I20" i="5"/>
  <c r="D20" i="5"/>
  <c r="E20" i="5" s="1"/>
  <c r="AG8" i="4"/>
  <c r="AH14" i="4"/>
  <c r="D14" i="5"/>
  <c r="D57" i="5" s="1"/>
  <c r="I14" i="5"/>
  <c r="B21" i="1"/>
  <c r="S20" i="1"/>
  <c r="R20" i="1"/>
  <c r="C20" i="1" s="1"/>
  <c r="AG14" i="5"/>
  <c r="AC14" i="5" s="1"/>
  <c r="I49" i="5"/>
  <c r="I52" i="5"/>
  <c r="I56" i="5"/>
  <c r="G50" i="4"/>
  <c r="G52" i="4"/>
  <c r="G54" i="4"/>
  <c r="G56" i="4"/>
  <c r="G14" i="4"/>
  <c r="C14" i="4" s="1"/>
  <c r="G15" i="4"/>
  <c r="C15" i="4" s="1"/>
  <c r="G16" i="4"/>
  <c r="C16" i="4" s="1"/>
  <c r="G17" i="4"/>
  <c r="C17" i="4" s="1"/>
  <c r="G18" i="4"/>
  <c r="C18" i="4" s="1"/>
  <c r="G19" i="4"/>
  <c r="C19" i="4" s="1"/>
  <c r="G49" i="4"/>
  <c r="G53" i="4"/>
  <c r="G57" i="4"/>
  <c r="G51" i="4"/>
  <c r="G55" i="4"/>
  <c r="AH14" i="5"/>
  <c r="AG8" i="5"/>
  <c r="B20" i="4"/>
  <c r="H19" i="4"/>
  <c r="H21" i="5"/>
  <c r="B22" i="5"/>
  <c r="G21" i="5"/>
  <c r="C21" i="5" s="1"/>
  <c r="H49" i="4"/>
  <c r="H51" i="4"/>
  <c r="H53" i="4"/>
  <c r="H55" i="4"/>
  <c r="I55" i="4" s="1"/>
  <c r="H57" i="4"/>
  <c r="H14" i="4"/>
  <c r="H15" i="4"/>
  <c r="H50" i="4"/>
  <c r="I50" i="4" s="1"/>
  <c r="H54" i="4"/>
  <c r="H52" i="4"/>
  <c r="H56" i="4"/>
  <c r="G8" i="4"/>
  <c r="H16" i="4"/>
  <c r="H17" i="4"/>
  <c r="D18" i="5"/>
  <c r="E18" i="5" s="1"/>
  <c r="I50" i="5"/>
  <c r="T19" i="1" l="1"/>
  <c r="E19" i="1"/>
  <c r="I19" i="5"/>
  <c r="T53" i="1"/>
  <c r="T48" i="1"/>
  <c r="D17" i="5"/>
  <c r="E17" i="5" s="1"/>
  <c r="I56" i="4"/>
  <c r="E18" i="4"/>
  <c r="D16" i="5"/>
  <c r="E16" i="5" s="1"/>
  <c r="D15" i="5"/>
  <c r="E15" i="5" s="1"/>
  <c r="I51" i="4"/>
  <c r="E14" i="5"/>
  <c r="T52" i="1"/>
  <c r="T54" i="1"/>
  <c r="T50" i="1"/>
  <c r="T13" i="1"/>
  <c r="D13" i="1"/>
  <c r="I53" i="4"/>
  <c r="T56" i="1"/>
  <c r="T14" i="1"/>
  <c r="D14" i="1"/>
  <c r="E14" i="1" s="1"/>
  <c r="I52" i="4"/>
  <c r="I54" i="4"/>
  <c r="I49" i="4"/>
  <c r="E57" i="5"/>
  <c r="T49" i="1"/>
  <c r="D15" i="1"/>
  <c r="E15" i="1" s="1"/>
  <c r="T15" i="1"/>
  <c r="D16" i="1"/>
  <c r="E16" i="1" s="1"/>
  <c r="T16" i="1"/>
  <c r="D18" i="1"/>
  <c r="E18" i="1" s="1"/>
  <c r="T18" i="1"/>
  <c r="D17" i="1"/>
  <c r="E17" i="1" s="1"/>
  <c r="T17" i="1"/>
  <c r="I57" i="4"/>
  <c r="BD29" i="1"/>
  <c r="BC30" i="1"/>
  <c r="BB31" i="1"/>
  <c r="BB29" i="1"/>
  <c r="BD30" i="1"/>
  <c r="BA30" i="1"/>
  <c r="BC29" i="1"/>
  <c r="BB30" i="1"/>
  <c r="BA29" i="1"/>
  <c r="BC31" i="1"/>
  <c r="BA31" i="1"/>
  <c r="BD31" i="1"/>
  <c r="D16" i="4"/>
  <c r="I16" i="4"/>
  <c r="D15" i="4"/>
  <c r="E15" i="4" s="1"/>
  <c r="I15" i="4"/>
  <c r="B23" i="5"/>
  <c r="H22" i="5"/>
  <c r="G22" i="5"/>
  <c r="C22" i="5" s="1"/>
  <c r="D19" i="4"/>
  <c r="E19" i="4" s="1"/>
  <c r="I19" i="4"/>
  <c r="AC57" i="5"/>
  <c r="S21" i="1"/>
  <c r="B22" i="1"/>
  <c r="R21" i="1"/>
  <c r="C21" i="1" s="1"/>
  <c r="D17" i="4"/>
  <c r="E17" i="4" s="1"/>
  <c r="I17" i="4"/>
  <c r="D14" i="4"/>
  <c r="D57" i="4" s="1"/>
  <c r="I14" i="4"/>
  <c r="I21" i="5"/>
  <c r="D21" i="5"/>
  <c r="E21" i="5" s="1"/>
  <c r="B21" i="4"/>
  <c r="H20" i="4"/>
  <c r="AI14" i="5"/>
  <c r="AD14" i="5"/>
  <c r="AD57" i="5" s="1"/>
  <c r="E14" i="4"/>
  <c r="C57" i="4"/>
  <c r="J17" i="2"/>
  <c r="J21" i="2" s="1"/>
  <c r="I17" i="2"/>
  <c r="I21" i="2" s="1"/>
  <c r="D20" i="1"/>
  <c r="E20" i="1" s="1"/>
  <c r="T20" i="1"/>
  <c r="AD14" i="4"/>
  <c r="AI14" i="4"/>
  <c r="G20" i="4"/>
  <c r="C20" i="4" s="1"/>
  <c r="E16" i="4"/>
  <c r="I18" i="4"/>
  <c r="BC12" i="1" l="1"/>
  <c r="E13" i="1"/>
  <c r="AE14" i="5"/>
  <c r="D20" i="4"/>
  <c r="E20" i="4" s="1"/>
  <c r="I20" i="4"/>
  <c r="B23" i="1"/>
  <c r="S22" i="1"/>
  <c r="R22" i="1"/>
  <c r="C22" i="1" s="1"/>
  <c r="B24" i="5"/>
  <c r="H23" i="5"/>
  <c r="G23" i="5"/>
  <c r="C23" i="5" s="1"/>
  <c r="E57" i="4"/>
  <c r="AE57" i="5"/>
  <c r="AD57" i="4"/>
  <c r="AE57" i="4" s="1"/>
  <c r="AE14" i="4"/>
  <c r="B22" i="4"/>
  <c r="H21" i="4"/>
  <c r="G21" i="4"/>
  <c r="C21" i="4" s="1"/>
  <c r="D21" i="1"/>
  <c r="T21" i="1"/>
  <c r="I22" i="5"/>
  <c r="D22" i="5"/>
  <c r="E22" i="5" s="1"/>
  <c r="E21" i="1"/>
  <c r="BC13" i="1" l="1"/>
  <c r="BH12" i="1"/>
  <c r="B23" i="4"/>
  <c r="H22" i="4"/>
  <c r="G22" i="4"/>
  <c r="C22" i="4" s="1"/>
  <c r="G17" i="2"/>
  <c r="G21" i="2" s="1"/>
  <c r="F17" i="2"/>
  <c r="F21" i="2" s="1"/>
  <c r="M17" i="2"/>
  <c r="M21" i="2" s="1"/>
  <c r="L17" i="2"/>
  <c r="L21" i="2" s="1"/>
  <c r="I23" i="5"/>
  <c r="D23" i="5"/>
  <c r="E23" i="5" s="1"/>
  <c r="S23" i="1"/>
  <c r="B24" i="1"/>
  <c r="R23" i="1"/>
  <c r="C23" i="1" s="1"/>
  <c r="D21" i="4"/>
  <c r="E21" i="4" s="1"/>
  <c r="I21" i="4"/>
  <c r="D17" i="2"/>
  <c r="D21" i="2" s="1"/>
  <c r="C17" i="2"/>
  <c r="C21" i="2" s="1"/>
  <c r="B25" i="5"/>
  <c r="H24" i="5"/>
  <c r="G24" i="5"/>
  <c r="C24" i="5" s="1"/>
  <c r="D22" i="1"/>
  <c r="E22" i="1" s="1"/>
  <c r="T22" i="1"/>
  <c r="BH14" i="1" l="1"/>
  <c r="BA18" i="1"/>
  <c r="I24" i="5"/>
  <c r="D24" i="5"/>
  <c r="E24" i="5" s="1"/>
  <c r="H25" i="5"/>
  <c r="B26" i="5"/>
  <c r="G25" i="5"/>
  <c r="C25" i="5" s="1"/>
  <c r="B25" i="1"/>
  <c r="S24" i="1"/>
  <c r="R24" i="1"/>
  <c r="C24" i="1" s="1"/>
  <c r="B24" i="4"/>
  <c r="H23" i="4"/>
  <c r="G23" i="4"/>
  <c r="C23" i="4" s="1"/>
  <c r="D23" i="1"/>
  <c r="E23" i="1" s="1"/>
  <c r="T23" i="1"/>
  <c r="D22" i="4"/>
  <c r="E22" i="4" s="1"/>
  <c r="I22" i="4"/>
  <c r="BC17" i="1" l="1"/>
  <c r="BB17" i="1"/>
  <c r="BB16" i="1" s="1"/>
  <c r="D23" i="4"/>
  <c r="E23" i="4" s="1"/>
  <c r="I23" i="4"/>
  <c r="B25" i="4"/>
  <c r="H24" i="4"/>
  <c r="G24" i="4"/>
  <c r="C24" i="4" s="1"/>
  <c r="D24" i="1"/>
  <c r="E24" i="1" s="1"/>
  <c r="T24" i="1"/>
  <c r="I25" i="5"/>
  <c r="D25" i="5"/>
  <c r="E25" i="5" s="1"/>
  <c r="S25" i="1"/>
  <c r="B26" i="1"/>
  <c r="R25" i="1"/>
  <c r="C25" i="1" s="1"/>
  <c r="B27" i="5"/>
  <c r="H26" i="5"/>
  <c r="G26" i="5"/>
  <c r="C26" i="5" s="1"/>
  <c r="BD17" i="1" l="1"/>
  <c r="BC16" i="1"/>
  <c r="I26" i="5"/>
  <c r="D26" i="5"/>
  <c r="E26" i="5" s="1"/>
  <c r="D25" i="1"/>
  <c r="E25" i="1" s="1"/>
  <c r="T25" i="1"/>
  <c r="B28" i="5"/>
  <c r="H27" i="5"/>
  <c r="G27" i="5"/>
  <c r="C27" i="5" s="1"/>
  <c r="B27" i="1"/>
  <c r="S26" i="1"/>
  <c r="R26" i="1"/>
  <c r="C26" i="1" s="1"/>
  <c r="B26" i="4"/>
  <c r="H25" i="4"/>
  <c r="G25" i="4"/>
  <c r="C25" i="4" s="1"/>
  <c r="D24" i="4"/>
  <c r="E24" i="4" s="1"/>
  <c r="I24" i="4"/>
  <c r="B27" i="4" l="1"/>
  <c r="H26" i="4"/>
  <c r="G26" i="4"/>
  <c r="C26" i="4" s="1"/>
  <c r="D26" i="1"/>
  <c r="E26" i="1" s="1"/>
  <c r="T26" i="1"/>
  <c r="B29" i="5"/>
  <c r="H28" i="5"/>
  <c r="G28" i="5"/>
  <c r="C28" i="5" s="1"/>
  <c r="D25" i="4"/>
  <c r="E25" i="4" s="1"/>
  <c r="I25" i="4"/>
  <c r="S27" i="1"/>
  <c r="B28" i="1"/>
  <c r="R27" i="1"/>
  <c r="C27" i="1" s="1"/>
  <c r="I27" i="5"/>
  <c r="D27" i="5"/>
  <c r="E27" i="5" s="1"/>
  <c r="D27" i="1" l="1"/>
  <c r="T27" i="1"/>
  <c r="H29" i="5"/>
  <c r="B30" i="5"/>
  <c r="G29" i="5"/>
  <c r="C29" i="5" s="1"/>
  <c r="D26" i="4"/>
  <c r="E26" i="4" s="1"/>
  <c r="I26" i="4"/>
  <c r="B29" i="1"/>
  <c r="S28" i="1"/>
  <c r="R28" i="1"/>
  <c r="C28" i="1" s="1"/>
  <c r="I28" i="5"/>
  <c r="D28" i="5"/>
  <c r="E28" i="5" s="1"/>
  <c r="B28" i="4"/>
  <c r="H27" i="4"/>
  <c r="G27" i="4"/>
  <c r="C27" i="4" s="1"/>
  <c r="E27" i="1"/>
  <c r="D27" i="4" l="1"/>
  <c r="I27" i="4"/>
  <c r="S29" i="1"/>
  <c r="B30" i="1"/>
  <c r="R29" i="1"/>
  <c r="C29" i="1" s="1"/>
  <c r="B29" i="4"/>
  <c r="H28" i="4"/>
  <c r="G28" i="4"/>
  <c r="C28" i="4" s="1"/>
  <c r="D28" i="1"/>
  <c r="E28" i="1" s="1"/>
  <c r="T28" i="1"/>
  <c r="I29" i="5"/>
  <c r="D29" i="5"/>
  <c r="E29" i="5" s="1"/>
  <c r="E27" i="4"/>
  <c r="B31" i="5"/>
  <c r="H30" i="5"/>
  <c r="G30" i="5"/>
  <c r="C30" i="5" s="1"/>
  <c r="B32" i="5" l="1"/>
  <c r="H31" i="5"/>
  <c r="G31" i="5"/>
  <c r="C31" i="5" s="1"/>
  <c r="D28" i="4"/>
  <c r="E28" i="4" s="1"/>
  <c r="I28" i="4"/>
  <c r="D29" i="1"/>
  <c r="E29" i="1" s="1"/>
  <c r="T29" i="1"/>
  <c r="I30" i="5"/>
  <c r="D30" i="5"/>
  <c r="E30" i="5" s="1"/>
  <c r="B30" i="4"/>
  <c r="H29" i="4"/>
  <c r="G29" i="4"/>
  <c r="C29" i="4" s="1"/>
  <c r="B31" i="1"/>
  <c r="S30" i="1"/>
  <c r="R30" i="1"/>
  <c r="C30" i="1" s="1"/>
  <c r="S31" i="1" l="1"/>
  <c r="B32" i="1"/>
  <c r="R31" i="1"/>
  <c r="C31" i="1" s="1"/>
  <c r="D29" i="4"/>
  <c r="E29" i="4" s="1"/>
  <c r="I29" i="4"/>
  <c r="B33" i="5"/>
  <c r="H32" i="5"/>
  <c r="G32" i="5"/>
  <c r="C32" i="5" s="1"/>
  <c r="D30" i="1"/>
  <c r="E30" i="1" s="1"/>
  <c r="T30" i="1"/>
  <c r="B31" i="4"/>
  <c r="H30" i="4"/>
  <c r="G30" i="4"/>
  <c r="C30" i="4" s="1"/>
  <c r="I31" i="5"/>
  <c r="D31" i="5"/>
  <c r="E31" i="5" s="1"/>
  <c r="D30" i="4" l="1"/>
  <c r="I30" i="4"/>
  <c r="I32" i="5"/>
  <c r="D32" i="5"/>
  <c r="E32" i="5" s="1"/>
  <c r="D31" i="1"/>
  <c r="T31" i="1"/>
  <c r="E31" i="1"/>
  <c r="B32" i="4"/>
  <c r="H31" i="4"/>
  <c r="G31" i="4"/>
  <c r="C31" i="4" s="1"/>
  <c r="H33" i="5"/>
  <c r="B34" i="5"/>
  <c r="G33" i="5"/>
  <c r="C33" i="5" s="1"/>
  <c r="B33" i="1"/>
  <c r="S32" i="1"/>
  <c r="R32" i="1"/>
  <c r="C32" i="1" s="1"/>
  <c r="E30" i="4"/>
  <c r="D32" i="1" l="1"/>
  <c r="T32" i="1"/>
  <c r="I33" i="5"/>
  <c r="D33" i="5"/>
  <c r="E33" i="5" s="1"/>
  <c r="D31" i="4"/>
  <c r="E31" i="4" s="1"/>
  <c r="I31" i="4"/>
  <c r="S33" i="1"/>
  <c r="B34" i="1"/>
  <c r="R33" i="1"/>
  <c r="C33" i="1" s="1"/>
  <c r="B35" i="5"/>
  <c r="H34" i="5"/>
  <c r="G34" i="5"/>
  <c r="C34" i="5" s="1"/>
  <c r="B33" i="4"/>
  <c r="H32" i="4"/>
  <c r="G32" i="4"/>
  <c r="C32" i="4" s="1"/>
  <c r="E32" i="1"/>
  <c r="D32" i="4" l="1"/>
  <c r="I32" i="4"/>
  <c r="B34" i="4"/>
  <c r="H33" i="4"/>
  <c r="G33" i="4"/>
  <c r="C33" i="4" s="1"/>
  <c r="I34" i="5"/>
  <c r="D34" i="5"/>
  <c r="E34" i="5" s="1"/>
  <c r="D33" i="1"/>
  <c r="E33" i="1" s="1"/>
  <c r="T33" i="1"/>
  <c r="E32" i="4"/>
  <c r="B36" i="5"/>
  <c r="H35" i="5"/>
  <c r="G35" i="5"/>
  <c r="C35" i="5" s="1"/>
  <c r="B35" i="1"/>
  <c r="S34" i="1"/>
  <c r="R34" i="1"/>
  <c r="C34" i="1" s="1"/>
  <c r="S35" i="1" l="1"/>
  <c r="B36" i="1"/>
  <c r="R35" i="1"/>
  <c r="C35" i="1" s="1"/>
  <c r="I35" i="5"/>
  <c r="D35" i="5"/>
  <c r="E35" i="5" s="1"/>
  <c r="B35" i="4"/>
  <c r="H34" i="4"/>
  <c r="G34" i="4"/>
  <c r="C34" i="4" s="1"/>
  <c r="D34" i="1"/>
  <c r="E34" i="1" s="1"/>
  <c r="T34" i="1"/>
  <c r="B37" i="5"/>
  <c r="H36" i="5"/>
  <c r="G36" i="5"/>
  <c r="C36" i="5" s="1"/>
  <c r="D33" i="4"/>
  <c r="E33" i="4" s="1"/>
  <c r="I33" i="4"/>
  <c r="I36" i="5" l="1"/>
  <c r="D36" i="5"/>
  <c r="E36" i="5" s="1"/>
  <c r="D34" i="4"/>
  <c r="E34" i="4" s="1"/>
  <c r="I34" i="4"/>
  <c r="D35" i="1"/>
  <c r="E35" i="1" s="1"/>
  <c r="T35" i="1"/>
  <c r="H37" i="5"/>
  <c r="B38" i="5"/>
  <c r="G37" i="5"/>
  <c r="C37" i="5" s="1"/>
  <c r="B36" i="4"/>
  <c r="H35" i="4"/>
  <c r="G35" i="4"/>
  <c r="C35" i="4" s="1"/>
  <c r="B37" i="1"/>
  <c r="S36" i="1"/>
  <c r="R36" i="1"/>
  <c r="C36" i="1" s="1"/>
  <c r="D35" i="4" l="1"/>
  <c r="E35" i="4" s="1"/>
  <c r="I35" i="4"/>
  <c r="D36" i="1"/>
  <c r="T36" i="1"/>
  <c r="B37" i="4"/>
  <c r="H36" i="4"/>
  <c r="G36" i="4"/>
  <c r="C36" i="4" s="1"/>
  <c r="B39" i="5"/>
  <c r="H38" i="5"/>
  <c r="G38" i="5"/>
  <c r="C38" i="5" s="1"/>
  <c r="S37" i="1"/>
  <c r="B38" i="1"/>
  <c r="R37" i="1"/>
  <c r="C37" i="1" s="1"/>
  <c r="I37" i="5"/>
  <c r="D37" i="5"/>
  <c r="E37" i="5" s="1"/>
  <c r="E36" i="1"/>
  <c r="B39" i="1" l="1"/>
  <c r="S38" i="1"/>
  <c r="R38" i="1"/>
  <c r="C38" i="1" s="1"/>
  <c r="I38" i="5"/>
  <c r="D38" i="5"/>
  <c r="E38" i="5" s="1"/>
  <c r="B38" i="4"/>
  <c r="H37" i="4"/>
  <c r="G37" i="4"/>
  <c r="C37" i="4" s="1"/>
  <c r="D37" i="1"/>
  <c r="E37" i="1" s="1"/>
  <c r="T37" i="1"/>
  <c r="B40" i="5"/>
  <c r="H39" i="5"/>
  <c r="G39" i="5"/>
  <c r="C39" i="5" s="1"/>
  <c r="D36" i="4"/>
  <c r="E36" i="4" s="1"/>
  <c r="I36" i="4"/>
  <c r="B39" i="4" l="1"/>
  <c r="H38" i="4"/>
  <c r="G38" i="4"/>
  <c r="C38" i="4" s="1"/>
  <c r="B41" i="5"/>
  <c r="H40" i="5"/>
  <c r="G40" i="5"/>
  <c r="C40" i="5" s="1"/>
  <c r="D37" i="4"/>
  <c r="E37" i="4" s="1"/>
  <c r="I37" i="4"/>
  <c r="S39" i="1"/>
  <c r="B40" i="1"/>
  <c r="R39" i="1"/>
  <c r="C39" i="1" s="1"/>
  <c r="D39" i="5"/>
  <c r="E39" i="5" s="1"/>
  <c r="I39" i="5"/>
  <c r="D38" i="1"/>
  <c r="E38" i="1" s="1"/>
  <c r="T38" i="1"/>
  <c r="B41" i="1" l="1"/>
  <c r="S40" i="1"/>
  <c r="R40" i="1"/>
  <c r="C40" i="1" s="1"/>
  <c r="D39" i="1"/>
  <c r="E39" i="1" s="1"/>
  <c r="T39" i="1"/>
  <c r="D40" i="5"/>
  <c r="I40" i="5"/>
  <c r="B40" i="4"/>
  <c r="H39" i="4"/>
  <c r="G39" i="4"/>
  <c r="C39" i="4" s="1"/>
  <c r="B42" i="5"/>
  <c r="H41" i="5"/>
  <c r="G41" i="5"/>
  <c r="C41" i="5" s="1"/>
  <c r="D38" i="4"/>
  <c r="E38" i="4" s="1"/>
  <c r="I38" i="4"/>
  <c r="E40" i="5"/>
  <c r="B43" i="5" l="1"/>
  <c r="H42" i="5"/>
  <c r="G42" i="5"/>
  <c r="C42" i="5" s="1"/>
  <c r="D39" i="4"/>
  <c r="E39" i="4" s="1"/>
  <c r="I39" i="4"/>
  <c r="S41" i="1"/>
  <c r="B42" i="1"/>
  <c r="R41" i="1"/>
  <c r="C41" i="1" s="1"/>
  <c r="D41" i="5"/>
  <c r="E41" i="5" s="1"/>
  <c r="I41" i="5"/>
  <c r="B41" i="4"/>
  <c r="H40" i="4"/>
  <c r="G40" i="4"/>
  <c r="C40" i="4" s="1"/>
  <c r="D40" i="1"/>
  <c r="E40" i="1" s="1"/>
  <c r="T40" i="1"/>
  <c r="D41" i="1" l="1"/>
  <c r="T41" i="1"/>
  <c r="D40" i="4"/>
  <c r="E40" i="4" s="1"/>
  <c r="I40" i="4"/>
  <c r="B43" i="1"/>
  <c r="S42" i="1"/>
  <c r="R42" i="1"/>
  <c r="C42" i="1" s="1"/>
  <c r="B44" i="5"/>
  <c r="H43" i="5"/>
  <c r="G43" i="5"/>
  <c r="C43" i="5" s="1"/>
  <c r="E41" i="1"/>
  <c r="B42" i="4"/>
  <c r="H41" i="4"/>
  <c r="G41" i="4"/>
  <c r="C41" i="4" s="1"/>
  <c r="D42" i="5"/>
  <c r="E42" i="5" s="1"/>
  <c r="I42" i="5"/>
  <c r="B45" i="5" l="1"/>
  <c r="H44" i="5"/>
  <c r="G44" i="5"/>
  <c r="C44" i="5" s="1"/>
  <c r="B43" i="4"/>
  <c r="H42" i="4"/>
  <c r="G42" i="4"/>
  <c r="C42" i="4" s="1"/>
  <c r="D43" i="5"/>
  <c r="E43" i="5" s="1"/>
  <c r="I43" i="5"/>
  <c r="S43" i="1"/>
  <c r="B44" i="1"/>
  <c r="R43" i="1"/>
  <c r="C43" i="1" s="1"/>
  <c r="D41" i="4"/>
  <c r="E41" i="4" s="1"/>
  <c r="I41" i="4"/>
  <c r="D42" i="1"/>
  <c r="E42" i="1" s="1"/>
  <c r="T42" i="1"/>
  <c r="B45" i="1" l="1"/>
  <c r="S44" i="1"/>
  <c r="R44" i="1"/>
  <c r="C44" i="1" s="1"/>
  <c r="D43" i="1"/>
  <c r="E43" i="1" s="1"/>
  <c r="T43" i="1"/>
  <c r="D42" i="4"/>
  <c r="I42" i="4"/>
  <c r="B46" i="5"/>
  <c r="H45" i="5"/>
  <c r="G45" i="5"/>
  <c r="C45" i="5" s="1"/>
  <c r="B44" i="4"/>
  <c r="H43" i="4"/>
  <c r="G43" i="4"/>
  <c r="C43" i="4" s="1"/>
  <c r="D44" i="5"/>
  <c r="E44" i="5" s="1"/>
  <c r="I44" i="5"/>
  <c r="E42" i="4"/>
  <c r="B45" i="4" l="1"/>
  <c r="H44" i="4"/>
  <c r="G44" i="4"/>
  <c r="C44" i="4" s="1"/>
  <c r="D45" i="5"/>
  <c r="E45" i="5" s="1"/>
  <c r="I45" i="5"/>
  <c r="B46" i="1"/>
  <c r="S45" i="1"/>
  <c r="R45" i="1"/>
  <c r="C45" i="1" s="1"/>
  <c r="D43" i="4"/>
  <c r="E43" i="4" s="1"/>
  <c r="I43" i="4"/>
  <c r="B47" i="5"/>
  <c r="H46" i="5"/>
  <c r="G46" i="5"/>
  <c r="C46" i="5" s="1"/>
  <c r="D44" i="1"/>
  <c r="E44" i="1" s="1"/>
  <c r="T44" i="1"/>
  <c r="B47" i="1" l="1"/>
  <c r="S46" i="1"/>
  <c r="R46" i="1"/>
  <c r="C46" i="1" s="1"/>
  <c r="D46" i="5"/>
  <c r="E46" i="5" s="1"/>
  <c r="I46" i="5"/>
  <c r="D45" i="1"/>
  <c r="E45" i="1" s="1"/>
  <c r="T45" i="1"/>
  <c r="B46" i="4"/>
  <c r="H45" i="4"/>
  <c r="G45" i="4"/>
  <c r="C45" i="4" s="1"/>
  <c r="B48" i="5"/>
  <c r="H47" i="5"/>
  <c r="G47" i="5"/>
  <c r="C47" i="5" s="1"/>
  <c r="D44" i="4"/>
  <c r="E44" i="4" s="1"/>
  <c r="I44" i="4"/>
  <c r="D47" i="5" l="1"/>
  <c r="I47" i="5"/>
  <c r="D45" i="4"/>
  <c r="E45" i="4" s="1"/>
  <c r="I45" i="4"/>
  <c r="S47" i="1"/>
  <c r="R47" i="1"/>
  <c r="C47" i="1" s="1"/>
  <c r="E47" i="5"/>
  <c r="H48" i="5"/>
  <c r="G48" i="5"/>
  <c r="C48" i="5" s="1"/>
  <c r="B47" i="4"/>
  <c r="H46" i="4"/>
  <c r="G46" i="4"/>
  <c r="C46" i="4" s="1"/>
  <c r="D46" i="1"/>
  <c r="E46" i="1" s="1"/>
  <c r="T46" i="1"/>
  <c r="D46" i="4" l="1"/>
  <c r="I46" i="4"/>
  <c r="B48" i="4"/>
  <c r="H47" i="4"/>
  <c r="G47" i="4"/>
  <c r="C47" i="4" s="1"/>
  <c r="D48" i="5"/>
  <c r="E48" i="5" s="1"/>
  <c r="I48" i="5"/>
  <c r="D47" i="1"/>
  <c r="E47" i="1" s="1"/>
  <c r="T47" i="1"/>
  <c r="E46" i="4"/>
  <c r="D47" i="4" l="1"/>
  <c r="I47" i="4"/>
  <c r="H48" i="4"/>
  <c r="G48" i="4"/>
  <c r="C48" i="4" s="1"/>
  <c r="E47" i="4"/>
  <c r="D48" i="4" l="1"/>
  <c r="E48" i="4" s="1"/>
  <c r="I48" i="4"/>
</calcChain>
</file>

<file path=xl/sharedStrings.xml><?xml version="1.0" encoding="utf-8"?>
<sst xmlns="http://schemas.openxmlformats.org/spreadsheetml/2006/main" count="733" uniqueCount="357">
  <si>
    <t>MIXING RATIO FOR ROTARY KILN</t>
  </si>
  <si>
    <t>BRICK COUNT FOR ROTARY KILN BRICKS (ISO &amp; VDZ SHAPE)</t>
  </si>
  <si>
    <t>&lt;-- USUALY, ISO=ALUMINA, VDZ=BASIC</t>
  </si>
  <si>
    <t>CONVERSION SECTION (OPTIONAL)</t>
  </si>
  <si>
    <t>INSTRUCTIONS:</t>
  </si>
  <si>
    <t>SMALL SHAPE</t>
  </si>
  <si>
    <t>LARGE SHAPE</t>
  </si>
  <si>
    <t>STEP</t>
  </si>
  <si>
    <t>FILL IN C4,D5, E13 AND B13</t>
  </si>
  <si>
    <t>D</t>
  </si>
  <si>
    <t>CONVERSION</t>
  </si>
  <si>
    <t>METER</t>
  </si>
  <si>
    <t>FEET</t>
  </si>
  <si>
    <t>SEE SHAPE LIST ON SIZE PAGE</t>
  </si>
  <si>
    <t>BACKUP LINING</t>
  </si>
  <si>
    <t>N</t>
  </si>
  <si>
    <t>Cold face</t>
  </si>
  <si>
    <t>SHAPE NAME MUST BE ENTERED AS</t>
  </si>
  <si>
    <t>DIAMETER (METER)</t>
  </si>
  <si>
    <t>NUMBER OF FEETS REQUIRED</t>
  </si>
  <si>
    <t>KEY-SET</t>
  </si>
  <si>
    <t>KILN DIAMETER</t>
  </si>
  <si>
    <t>Hot face</t>
  </si>
  <si>
    <t>TEXT WITH A ' IN FRONT OF VALUE.</t>
  </si>
  <si>
    <t>PCS / RING</t>
  </si>
  <si>
    <t>A</t>
  </si>
  <si>
    <t>L. THK</t>
  </si>
  <si>
    <t>DO NOT USE NEGATIVE VALUES</t>
  </si>
  <si>
    <t>DIAMETER (FT)</t>
  </si>
  <si>
    <t>-------&gt;&gt;</t>
  </si>
  <si>
    <t>THICK</t>
  </si>
  <si>
    <t>ISO</t>
  </si>
  <si>
    <t>FORMAT#</t>
  </si>
  <si>
    <t>VDZ</t>
  </si>
  <si>
    <t>HOW MANY FEETS</t>
  </si>
  <si>
    <t>THESE ARE THEORITICAL COUNTS</t>
  </si>
  <si>
    <t>SMALL</t>
  </si>
  <si>
    <t>LARGE</t>
  </si>
  <si>
    <t>KEY SET</t>
  </si>
  <si>
    <t>JOINT</t>
  </si>
  <si>
    <t>SHAPE</t>
  </si>
  <si>
    <t>K-16A</t>
  </si>
  <si>
    <t>K-16B</t>
  </si>
  <si>
    <t># 13021</t>
  </si>
  <si>
    <t>KB-16A</t>
  </si>
  <si>
    <t>BK-16V</t>
  </si>
  <si>
    <t># 96093</t>
  </si>
  <si>
    <t>ALUSTRIP</t>
  </si>
  <si>
    <t>BRICK SHAPE</t>
  </si>
  <si>
    <t>320</t>
  </si>
  <si>
    <t>620</t>
  </si>
  <si>
    <t>K-18A</t>
  </si>
  <si>
    <t>K-18B</t>
  </si>
  <si>
    <t># 13022</t>
  </si>
  <si>
    <t>KB-18A</t>
  </si>
  <si>
    <t>BK-18V</t>
  </si>
  <si>
    <t># 96094</t>
  </si>
  <si>
    <t>STEEL</t>
  </si>
  <si>
    <t>PC/RG</t>
  </si>
  <si>
    <t>TTL/RG</t>
  </si>
  <si>
    <t>FORMAT #</t>
  </si>
  <si>
    <t>ERREUR SI = 1</t>
  </si>
  <si>
    <t>K-20A</t>
  </si>
  <si>
    <t>K-20B</t>
  </si>
  <si>
    <t># 13023</t>
  </si>
  <si>
    <t>KB-20A</t>
  </si>
  <si>
    <t>BK-20V</t>
  </si>
  <si>
    <t># 96095</t>
  </si>
  <si>
    <t>ID (FT)</t>
  </si>
  <si>
    <t>NUMBER OF PIECE PER RING</t>
  </si>
  <si>
    <t>NB OF RING</t>
  </si>
  <si>
    <t>K-22A</t>
  </si>
  <si>
    <t>K-22B</t>
  </si>
  <si>
    <t># 13024</t>
  </si>
  <si>
    <t>KB-22A</t>
  </si>
  <si>
    <t>BK-22V</t>
  </si>
  <si>
    <t># 96096</t>
  </si>
  <si>
    <t>NUMBER OF PIECE TOTAL</t>
  </si>
  <si>
    <t>NB OF FEET</t>
  </si>
  <si>
    <t>K-25A</t>
  </si>
  <si>
    <t>K-25B</t>
  </si>
  <si>
    <t>KB-25A</t>
  </si>
  <si>
    <t>BK-25V</t>
  </si>
  <si>
    <t># 96097</t>
  </si>
  <si>
    <t>QTY PER PALLET</t>
  </si>
  <si>
    <t xml:space="preserve">   n/d</t>
  </si>
  <si>
    <t>NUMBER OF PALLETS</t>
  </si>
  <si>
    <t>FILL THE YELLOW CELLS ONLY.</t>
  </si>
  <si>
    <t>QTY TOTAL, FULL PALLETS</t>
  </si>
  <si>
    <t>WATCH FOR WARNING MESSAGES</t>
  </si>
  <si>
    <t>CLIENT:</t>
  </si>
  <si>
    <t>DATE:</t>
  </si>
  <si>
    <t>SEARCH FOR POSSIBLE COMBINATIONS</t>
  </si>
  <si>
    <t>OUTSIDE KILN DIAMETER (OD)</t>
  </si>
  <si>
    <r>
      <t xml:space="preserve">   JOINT (</t>
    </r>
    <r>
      <rPr>
        <b/>
        <sz val="12"/>
        <color indexed="12"/>
        <rFont val="Times New Roman"/>
        <family val="1"/>
      </rPr>
      <t>D</t>
    </r>
    <r>
      <rPr>
        <sz val="12"/>
        <rFont val="Times New Roman"/>
        <family val="1"/>
      </rPr>
      <t xml:space="preserve">ry, </t>
    </r>
    <r>
      <rPr>
        <b/>
        <sz val="12"/>
        <color indexed="12"/>
        <rFont val="Times New Roman"/>
        <family val="1"/>
      </rPr>
      <t>W</t>
    </r>
    <r>
      <rPr>
        <sz val="12"/>
        <rFont val="Times New Roman"/>
        <family val="1"/>
      </rPr>
      <t>et</t>
    </r>
    <r>
      <rPr>
        <b/>
        <sz val="12"/>
        <color indexed="12"/>
        <rFont val="Times New Roman"/>
        <family val="1"/>
      </rPr>
      <t>D</t>
    </r>
    <r>
      <rPr>
        <sz val="12"/>
        <rFont val="Times New Roman"/>
        <family val="1"/>
      </rPr>
      <t xml:space="preserve">ip or </t>
    </r>
    <r>
      <rPr>
        <b/>
        <sz val="12"/>
        <color indexed="12"/>
        <rFont val="Times New Roman"/>
        <family val="1"/>
      </rPr>
      <t>W</t>
    </r>
    <r>
      <rPr>
        <sz val="12"/>
        <rFont val="Times New Roman"/>
        <family val="1"/>
      </rPr>
      <t>et</t>
    </r>
    <r>
      <rPr>
        <b/>
        <sz val="12"/>
        <color indexed="12"/>
        <rFont val="Times New Roman"/>
        <family val="1"/>
      </rPr>
      <t>B</t>
    </r>
    <r>
      <rPr>
        <sz val="12"/>
        <rFont val="Times New Roman"/>
        <family val="1"/>
      </rPr>
      <t xml:space="preserve">uttered)   </t>
    </r>
  </si>
  <si>
    <r>
      <t xml:space="preserve">   ALUSTRIP (</t>
    </r>
    <r>
      <rPr>
        <b/>
        <sz val="12"/>
        <color indexed="39"/>
        <rFont val="Times New Roman"/>
        <family val="1"/>
      </rPr>
      <t>Y</t>
    </r>
    <r>
      <rPr>
        <sz val="12"/>
        <rFont val="Times New Roman"/>
        <family val="1"/>
      </rPr>
      <t xml:space="preserve"> / </t>
    </r>
    <r>
      <rPr>
        <b/>
        <sz val="12"/>
        <color indexed="39"/>
        <rFont val="Times New Roman"/>
        <family val="1"/>
      </rPr>
      <t>N</t>
    </r>
    <r>
      <rPr>
        <sz val="12"/>
        <rFont val="Times New Roman"/>
        <family val="1"/>
      </rPr>
      <t xml:space="preserve">)   </t>
    </r>
  </si>
  <si>
    <r>
      <t>Prepared by:</t>
    </r>
    <r>
      <rPr>
        <i/>
        <sz val="14"/>
        <color indexed="20"/>
        <rFont val="Times New Roman"/>
        <family val="1"/>
      </rPr>
      <t xml:space="preserve"> Eric Guitard &amp; Bhaskar Patel</t>
    </r>
  </si>
  <si>
    <r>
      <t>A</t>
    </r>
    <r>
      <rPr>
        <sz val="12"/>
        <rFont val="Times New Roman"/>
        <family val="1"/>
      </rPr>
      <t xml:space="preserve">LUMINA OR </t>
    </r>
    <r>
      <rPr>
        <b/>
        <sz val="12"/>
        <color indexed="12"/>
        <rFont val="Times New Roman"/>
        <family val="1"/>
      </rPr>
      <t>B</t>
    </r>
    <r>
      <rPr>
        <sz val="12"/>
        <rFont val="Times New Roman"/>
        <family val="1"/>
      </rPr>
      <t>ASIC QUALITY</t>
    </r>
  </si>
  <si>
    <t>CLICK ON THE COPY BUTTON TO TRANSPOSE THE</t>
  </si>
  <si>
    <t>LINNING TICKNESS (mm)</t>
  </si>
  <si>
    <t>VALUES TO THE RATIO SHEET</t>
  </si>
  <si>
    <r>
      <t>FORMAT</t>
    </r>
    <r>
      <rPr>
        <b/>
        <sz val="12"/>
        <rFont val="Helv"/>
      </rPr>
      <t xml:space="preserve"> </t>
    </r>
    <r>
      <rPr>
        <b/>
        <sz val="12"/>
        <color indexed="12"/>
        <rFont val="Helv"/>
      </rPr>
      <t>I</t>
    </r>
    <r>
      <rPr>
        <sz val="12"/>
        <rFont val="Helv"/>
      </rPr>
      <t xml:space="preserve">SO OR </t>
    </r>
    <r>
      <rPr>
        <b/>
        <sz val="12"/>
        <color indexed="12"/>
        <rFont val="Helv"/>
      </rPr>
      <t>V</t>
    </r>
    <r>
      <rPr>
        <sz val="12"/>
        <rFont val="Helv"/>
      </rPr>
      <t>DZ ??</t>
    </r>
  </si>
  <si>
    <t>I</t>
  </si>
  <si>
    <t>POSSIBLE COMBINATIONS</t>
  </si>
  <si>
    <t>FORMAT A CHERCHER</t>
  </si>
  <si>
    <t>QTY PER RING</t>
  </si>
  <si>
    <t>NUMBER OF RINGS</t>
  </si>
  <si>
    <t>QTY TOTAL</t>
  </si>
  <si>
    <t>* NOT IN FULL PALLETS</t>
  </si>
  <si>
    <t>MOST FREQUENT SHAPES COMBINATIONS</t>
  </si>
  <si>
    <t xml:space="preserve">LINNING </t>
  </si>
  <si>
    <t>THICKNESS</t>
  </si>
  <si>
    <t>216</t>
  </si>
  <si>
    <t>716</t>
  </si>
  <si>
    <t>B216</t>
  </si>
  <si>
    <t>B716</t>
  </si>
  <si>
    <t>N/A</t>
  </si>
  <si>
    <t>218</t>
  </si>
  <si>
    <t>718</t>
  </si>
  <si>
    <t>B218</t>
  </si>
  <si>
    <t>B618</t>
  </si>
  <si>
    <t>820</t>
  </si>
  <si>
    <t>B220</t>
  </si>
  <si>
    <t>B620</t>
  </si>
  <si>
    <t>322</t>
  </si>
  <si>
    <t>822</t>
  </si>
  <si>
    <t>B322</t>
  </si>
  <si>
    <t>B622</t>
  </si>
  <si>
    <t>622</t>
  </si>
  <si>
    <t>B222</t>
  </si>
  <si>
    <t>222</t>
  </si>
  <si>
    <t>9.8 in.</t>
  </si>
  <si>
    <t>SECTION 1</t>
  </si>
  <si>
    <t>SECTION 2</t>
  </si>
  <si>
    <t>VERIFICATION</t>
  </si>
  <si>
    <t xml:space="preserve"> 1 = ERREUR</t>
  </si>
  <si>
    <t>SECTION 3</t>
  </si>
  <si>
    <t>SECTION 4</t>
  </si>
  <si>
    <t>ISO/VDZ</t>
  </si>
  <si>
    <t>COLD FACE</t>
  </si>
  <si>
    <t>HOT FACE</t>
  </si>
  <si>
    <t>VOLUME</t>
  </si>
  <si>
    <t>ALUMINA Qty /pal</t>
  </si>
  <si>
    <t>BASIC Qty/pal</t>
  </si>
  <si>
    <t>LENGHT</t>
  </si>
  <si>
    <t>1516</t>
  </si>
  <si>
    <t># 06638</t>
  </si>
  <si>
    <t>1522</t>
  </si>
  <si>
    <t># 98019</t>
  </si>
  <si>
    <t># 06085</t>
  </si>
  <si>
    <t># 06088</t>
  </si>
  <si>
    <t>220</t>
  </si>
  <si>
    <t># 05809</t>
  </si>
  <si>
    <t># 06552</t>
  </si>
  <si>
    <t>225</t>
  </si>
  <si>
    <t># 06553</t>
  </si>
  <si>
    <t>316</t>
  </si>
  <si>
    <t># 06086</t>
  </si>
  <si>
    <t>318</t>
  </si>
  <si>
    <t># 06089</t>
  </si>
  <si>
    <t># 06091</t>
  </si>
  <si>
    <t># 05810</t>
  </si>
  <si>
    <t>325</t>
  </si>
  <si>
    <t># 06192</t>
  </si>
  <si>
    <t>325/30</t>
  </si>
  <si>
    <t># 68725</t>
  </si>
  <si>
    <t>N/D</t>
  </si>
  <si>
    <t>416</t>
  </si>
  <si>
    <t># 06087</t>
  </si>
  <si>
    <t>418</t>
  </si>
  <si>
    <t># 06090</t>
  </si>
  <si>
    <t>425</t>
  </si>
  <si>
    <t># 06097</t>
  </si>
  <si>
    <t># 06092</t>
  </si>
  <si>
    <t># 06095</t>
  </si>
  <si>
    <t>625</t>
  </si>
  <si>
    <t># 06098</t>
  </si>
  <si>
    <t># 05807</t>
  </si>
  <si>
    <t># 05808</t>
  </si>
  <si>
    <t># 06093</t>
  </si>
  <si>
    <t># 06096</t>
  </si>
  <si>
    <t>825</t>
  </si>
  <si>
    <t># 06099</t>
  </si>
  <si>
    <t>825/30</t>
  </si>
  <si>
    <t># 18622</t>
  </si>
  <si>
    <t>V</t>
  </si>
  <si>
    <t>NEW</t>
  </si>
  <si>
    <t># 84197</t>
  </si>
  <si>
    <t># 02474</t>
  </si>
  <si>
    <t># 02476</t>
  </si>
  <si>
    <t># 02479</t>
  </si>
  <si>
    <t># 06078</t>
  </si>
  <si>
    <t>B222/30</t>
  </si>
  <si>
    <t># 96354</t>
  </si>
  <si>
    <t>B3.522</t>
  </si>
  <si>
    <t># 68612</t>
  </si>
  <si>
    <t># 16484</t>
  </si>
  <si>
    <t>B325</t>
  </si>
  <si>
    <t># 06081</t>
  </si>
  <si>
    <t>B416</t>
  </si>
  <si>
    <t># 02475</t>
  </si>
  <si>
    <t>B418</t>
  </si>
  <si>
    <t># 02477</t>
  </si>
  <si>
    <t>B420</t>
  </si>
  <si>
    <t># 02480</t>
  </si>
  <si>
    <t>B422</t>
  </si>
  <si>
    <t># 06079</t>
  </si>
  <si>
    <t>B425</t>
  </si>
  <si>
    <t>B425A</t>
  </si>
  <si>
    <t># 96380</t>
  </si>
  <si>
    <t>B525</t>
  </si>
  <si>
    <t># 06082</t>
  </si>
  <si>
    <t># 02478</t>
  </si>
  <si>
    <t># 02481</t>
  </si>
  <si>
    <t># 06080</t>
  </si>
  <si>
    <t>B622/30</t>
  </si>
  <si>
    <t># 96353</t>
  </si>
  <si>
    <t># 17330</t>
  </si>
  <si>
    <t>B725</t>
  </si>
  <si>
    <t># 06083</t>
  </si>
  <si>
    <t>B822</t>
  </si>
  <si>
    <t># 96636</t>
  </si>
  <si>
    <t>THE DARKER SECTION ARE NON-STANDARD SHAPES</t>
  </si>
  <si>
    <t>WE MIGHT NOT HAVE ALL THE MOLDS FOR THESE SHAPES.</t>
  </si>
  <si>
    <t>DO NOT ADD ANY ITEM INTO OR AFTER THE DARK SECTION.</t>
  </si>
  <si>
    <t>TO ADD AN ITEM, PLEASE INSERT A LINE. THE SHAPE NAMES MUST</t>
  </si>
  <si>
    <t>BE SORTED BY NAME.</t>
  </si>
  <si>
    <t>ALUMINA LINING</t>
  </si>
  <si>
    <t>BASIC LINING</t>
  </si>
  <si>
    <t>JOINT THICKNESS= 0 mm</t>
  </si>
  <si>
    <t>DRY LAYED</t>
  </si>
  <si>
    <r>
      <t xml:space="preserve">CLENCH </t>
    </r>
    <r>
      <rPr>
        <b/>
        <u/>
        <sz val="12"/>
        <rFont val="Helv"/>
      </rPr>
      <t>WITH</t>
    </r>
    <r>
      <rPr>
        <sz val="12"/>
        <rFont val="Helv"/>
      </rPr>
      <t xml:space="preserve"> ALUSTRIPS = 0.15mm</t>
    </r>
  </si>
  <si>
    <r>
      <t xml:space="preserve">CLENCH </t>
    </r>
    <r>
      <rPr>
        <b/>
        <u/>
        <sz val="12"/>
        <rFont val="Helv"/>
      </rPr>
      <t>WITHOUT</t>
    </r>
    <r>
      <rPr>
        <sz val="12"/>
        <rFont val="Helv"/>
      </rPr>
      <t xml:space="preserve"> ALUSTRIPS</t>
    </r>
  </si>
  <si>
    <t>TCK= 198 mm</t>
  </si>
  <si>
    <t>TCK= 198mm + 1mm (cardboard) = 200mm</t>
  </si>
  <si>
    <t>TCK=198mm + 1mm (cardboard) =199mm</t>
  </si>
  <si>
    <t>ISO SHAPES</t>
  </si>
  <si>
    <t>VDZ SHAPES</t>
  </si>
  <si>
    <t xml:space="preserve">KILN </t>
  </si>
  <si>
    <t>6"</t>
  </si>
  <si>
    <t>7"</t>
  </si>
  <si>
    <t>8"</t>
  </si>
  <si>
    <t>9"</t>
  </si>
  <si>
    <t>DIAMETER</t>
  </si>
  <si>
    <t>160mm</t>
  </si>
  <si>
    <t>180mm</t>
  </si>
  <si>
    <t>200 mm</t>
  </si>
  <si>
    <t>220 mm</t>
  </si>
  <si>
    <t>B-216</t>
  </si>
  <si>
    <t>B-716</t>
  </si>
  <si>
    <t>B-218</t>
  </si>
  <si>
    <t>B-618</t>
  </si>
  <si>
    <t>B-220</t>
  </si>
  <si>
    <t>B-620</t>
  </si>
  <si>
    <t>B-222</t>
  </si>
  <si>
    <t>B-622</t>
  </si>
  <si>
    <t>B-322</t>
  </si>
  <si>
    <t>#06085</t>
  </si>
  <si>
    <t>#05807</t>
  </si>
  <si>
    <t>#06088</t>
  </si>
  <si>
    <t>#05808</t>
  </si>
  <si>
    <t>#06091</t>
  </si>
  <si>
    <t>#06093</t>
  </si>
  <si>
    <t>#05810</t>
  </si>
  <si>
    <t>#06095</t>
  </si>
  <si>
    <t>#06096</t>
  </si>
  <si>
    <t>#02474</t>
  </si>
  <si>
    <t>#17330</t>
  </si>
  <si>
    <t>#02476</t>
  </si>
  <si>
    <t>#02478</t>
  </si>
  <si>
    <t>#02479</t>
  </si>
  <si>
    <t>#02481</t>
  </si>
  <si>
    <t>#06078</t>
  </si>
  <si>
    <t>#06080</t>
  </si>
  <si>
    <t>#16484</t>
  </si>
  <si>
    <t>6'6"</t>
  </si>
  <si>
    <t>7'0"</t>
  </si>
  <si>
    <t>7'6"</t>
  </si>
  <si>
    <t>8'0"</t>
  </si>
  <si>
    <t>8'6"</t>
  </si>
  <si>
    <t>9'0"</t>
  </si>
  <si>
    <t>9'6"</t>
  </si>
  <si>
    <t>10'0"</t>
  </si>
  <si>
    <t>10'6"</t>
  </si>
  <si>
    <t>11'0"</t>
  </si>
  <si>
    <t>11'6"</t>
  </si>
  <si>
    <t>12'0"</t>
  </si>
  <si>
    <t>12'6"</t>
  </si>
  <si>
    <t>13'0"</t>
  </si>
  <si>
    <t>13'6"</t>
  </si>
  <si>
    <t>14'0"</t>
  </si>
  <si>
    <t>14'6"</t>
  </si>
  <si>
    <t>15'0"</t>
  </si>
  <si>
    <t>15'6"</t>
  </si>
  <si>
    <t>16'0"</t>
  </si>
  <si>
    <t>16'6"</t>
  </si>
  <si>
    <t>17'0"</t>
  </si>
  <si>
    <t>17'6"</t>
  </si>
  <si>
    <t>18'0"</t>
  </si>
  <si>
    <t>18'6"</t>
  </si>
  <si>
    <t>19'0"</t>
  </si>
  <si>
    <t>K16A</t>
  </si>
  <si>
    <t>K18A</t>
  </si>
  <si>
    <t>K20A</t>
  </si>
  <si>
    <t>K22A</t>
  </si>
  <si>
    <t>B-K16</t>
  </si>
  <si>
    <t>B-K18</t>
  </si>
  <si>
    <t>B-K20</t>
  </si>
  <si>
    <t>B-K22</t>
  </si>
  <si>
    <t>#13024</t>
  </si>
  <si>
    <t>#13022</t>
  </si>
  <si>
    <t>#13023</t>
  </si>
  <si>
    <t>#20611</t>
  </si>
  <si>
    <t>#20612</t>
  </si>
  <si>
    <t>#20613</t>
  </si>
  <si>
    <t>#20614</t>
  </si>
  <si>
    <t>KEY BRICKS</t>
  </si>
  <si>
    <t>P-161</t>
  </si>
  <si>
    <t>P-181</t>
  </si>
  <si>
    <t>P-201</t>
  </si>
  <si>
    <t>P-221</t>
  </si>
  <si>
    <t>P-164</t>
  </si>
  <si>
    <t>P-184</t>
  </si>
  <si>
    <t>P-204</t>
  </si>
  <si>
    <t>P-224</t>
  </si>
  <si>
    <t>P-162</t>
  </si>
  <si>
    <t>P-182</t>
  </si>
  <si>
    <t>P-202</t>
  </si>
  <si>
    <t>P-222</t>
  </si>
  <si>
    <t>P-165</t>
  </si>
  <si>
    <t>P-185</t>
  </si>
  <si>
    <t>P-205</t>
  </si>
  <si>
    <t>P-225</t>
  </si>
  <si>
    <t>Ring lenght:</t>
  </si>
  <si>
    <t>322/30</t>
  </si>
  <si>
    <t>822/30</t>
  </si>
  <si>
    <t># 84011</t>
  </si>
  <si>
    <t># 84010</t>
  </si>
  <si>
    <t>B320</t>
  </si>
  <si>
    <t># 14654</t>
  </si>
  <si>
    <t>B1520</t>
  </si>
  <si>
    <t>B1522</t>
  </si>
  <si>
    <t>B820</t>
  </si>
  <si>
    <t>B818</t>
  </si>
  <si>
    <t>B318</t>
  </si>
  <si>
    <t># 06094</t>
  </si>
  <si>
    <t>422</t>
  </si>
  <si>
    <t>INSIDE KILN DIAMETER (ID)</t>
  </si>
  <si>
    <t>522</t>
  </si>
  <si>
    <t># 14801</t>
  </si>
  <si>
    <t>b22k18-6</t>
  </si>
  <si>
    <t>#20903</t>
  </si>
  <si>
    <t># 39505</t>
  </si>
  <si>
    <r>
      <t>JOINT (</t>
    </r>
    <r>
      <rPr>
        <b/>
        <sz val="12"/>
        <color indexed="39"/>
        <rFont val="Calibri"/>
        <family val="2"/>
        <scheme val="minor"/>
      </rPr>
      <t>D</t>
    </r>
    <r>
      <rPr>
        <sz val="12"/>
        <rFont val="Calibri"/>
        <family val="2"/>
        <scheme val="minor"/>
      </rPr>
      <t xml:space="preserve">ry, </t>
    </r>
    <r>
      <rPr>
        <b/>
        <sz val="12"/>
        <color indexed="39"/>
        <rFont val="Calibri"/>
        <family val="2"/>
        <scheme val="minor"/>
      </rPr>
      <t>W</t>
    </r>
    <r>
      <rPr>
        <sz val="12"/>
        <rFont val="Calibri"/>
        <family val="2"/>
        <scheme val="minor"/>
      </rPr>
      <t>et</t>
    </r>
    <r>
      <rPr>
        <b/>
        <sz val="12"/>
        <color indexed="39"/>
        <rFont val="Calibri"/>
        <family val="2"/>
        <scheme val="minor"/>
      </rPr>
      <t>D</t>
    </r>
    <r>
      <rPr>
        <sz val="12"/>
        <rFont val="Calibri"/>
        <family val="2"/>
        <scheme val="minor"/>
      </rPr>
      <t xml:space="preserve">ip or </t>
    </r>
    <r>
      <rPr>
        <b/>
        <sz val="12"/>
        <color indexed="39"/>
        <rFont val="Calibri"/>
        <family val="2"/>
        <scheme val="minor"/>
      </rPr>
      <t>W</t>
    </r>
    <r>
      <rPr>
        <sz val="12"/>
        <rFont val="Calibri"/>
        <family val="2"/>
        <scheme val="minor"/>
      </rPr>
      <t>et</t>
    </r>
    <r>
      <rPr>
        <b/>
        <sz val="12"/>
        <color indexed="39"/>
        <rFont val="Calibri"/>
        <family val="2"/>
        <scheme val="minor"/>
      </rPr>
      <t>B</t>
    </r>
    <r>
      <rPr>
        <sz val="12"/>
        <rFont val="Calibri"/>
        <family val="2"/>
        <scheme val="minor"/>
      </rPr>
      <t xml:space="preserve">uttered  .                                         </t>
    </r>
  </si>
  <si>
    <r>
      <t>ALUSTRIP (</t>
    </r>
    <r>
      <rPr>
        <b/>
        <sz val="12"/>
        <color indexed="39"/>
        <rFont val="Calibri"/>
        <family val="2"/>
        <scheme val="minor"/>
      </rPr>
      <t>Y</t>
    </r>
    <r>
      <rPr>
        <sz val="12"/>
        <rFont val="Calibri"/>
        <family val="2"/>
        <scheme val="minor"/>
      </rPr>
      <t xml:space="preserve"> / </t>
    </r>
    <r>
      <rPr>
        <b/>
        <sz val="12"/>
        <color indexed="39"/>
        <rFont val="Calibri"/>
        <family val="2"/>
        <scheme val="minor"/>
      </rPr>
      <t>N</t>
    </r>
    <r>
      <rPr>
        <sz val="12"/>
        <rFont val="Calibri"/>
        <family val="2"/>
        <scheme val="minor"/>
      </rPr>
      <t>)  .</t>
    </r>
  </si>
  <si>
    <r>
      <t>A</t>
    </r>
    <r>
      <rPr>
        <sz val="12"/>
        <rFont val="Calibri"/>
        <family val="2"/>
        <scheme val="minor"/>
      </rPr>
      <t xml:space="preserve">LUMINA OR </t>
    </r>
    <r>
      <rPr>
        <b/>
        <sz val="12"/>
        <color indexed="39"/>
        <rFont val="Calibri"/>
        <family val="2"/>
        <scheme val="minor"/>
      </rPr>
      <t>B</t>
    </r>
    <r>
      <rPr>
        <sz val="12"/>
        <rFont val="Calibri"/>
        <family val="2"/>
        <scheme val="minor"/>
      </rPr>
      <t>ASIC QUALITY</t>
    </r>
  </si>
  <si>
    <r>
      <t xml:space="preserve">** IF YOU GET THE MESSAGE: </t>
    </r>
    <r>
      <rPr>
        <b/>
        <u/>
        <sz val="14"/>
        <color indexed="10"/>
        <rFont val="Calibri"/>
        <family val="2"/>
        <scheme val="minor"/>
      </rPr>
      <t>#VALUE!</t>
    </r>
    <r>
      <rPr>
        <b/>
        <u/>
        <sz val="14"/>
        <color indexed="36"/>
        <rFont val="Calibri"/>
        <family val="2"/>
        <scheme val="minor"/>
      </rPr>
      <t>, THIS MEAN THAT THIS SHAPE IS NOT INTO THE LIST 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</si>
</sst>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General_)"/>
    <numFmt numFmtId="165" formatCode="0.00_)"/>
    <numFmt numFmtId="166" formatCode="mm/dd/yy_)"/>
    <numFmt numFmtId="167" formatCode="0.0_)"/>
    <numFmt numFmtId="168" formatCode="0.0\ &quot;mm&quot;"/>
    <numFmt numFmtId="169" formatCode="0.0\ &quot;in.&quot;"/>
    <numFmt numFmtId="170" formatCode="0.0\ &quot;mm  &quot;"/>
    <numFmt numFmtId="171" formatCode="0.0\ &quot;in.  &quot;"/>
    <numFmt numFmtId="172" formatCode="0\ &quot;pc/pal&quot;"/>
    <numFmt numFmtId="173" formatCode="0\ &quot;pcs &quot;"/>
    <numFmt numFmtId="174" formatCode="0\ &quot;pal.  &quot;"/>
    <numFmt numFmtId="175" formatCode="0.0\ &quot;m.&quot;"/>
    <numFmt numFmtId="176" formatCode="0.00\ &quot;mm  &quot;"/>
    <numFmt numFmtId="177" formatCode="0.0\ &quot;feet&quot;"/>
    <numFmt numFmtId="178" formatCode="0\ &quot;in.&quot;"/>
    <numFmt numFmtId="179" formatCode="0\ &quot;mm  &quot;"/>
    <numFmt numFmtId="180" formatCode="0.00\ \ "/>
    <numFmt numFmtId="181" formatCode="0.00\ &quot;feet&quot;"/>
    <numFmt numFmtId="182" formatCode="0.000\ \ "/>
  </numFmts>
  <fonts count="66" x14ac:knownFonts="1">
    <font>
      <sz val="12"/>
      <name val="Helv"/>
    </font>
    <font>
      <sz val="10"/>
      <name val="Arial"/>
      <family val="2"/>
    </font>
    <font>
      <sz val="12"/>
      <color indexed="12"/>
      <name val="Helv"/>
    </font>
    <font>
      <b/>
      <sz val="12"/>
      <name val="Helv"/>
    </font>
    <font>
      <b/>
      <u/>
      <sz val="12"/>
      <color indexed="10"/>
      <name val="Helv"/>
    </font>
    <font>
      <sz val="12"/>
      <color indexed="8"/>
      <name val="Helv"/>
    </font>
    <font>
      <u/>
      <sz val="12"/>
      <name val="Helv"/>
    </font>
    <font>
      <b/>
      <u/>
      <sz val="16"/>
      <name val="Helv"/>
    </font>
    <font>
      <b/>
      <u/>
      <sz val="16"/>
      <color indexed="8"/>
      <name val="Helv"/>
    </font>
    <font>
      <b/>
      <u/>
      <sz val="12"/>
      <name val="Helv"/>
    </font>
    <font>
      <b/>
      <sz val="12"/>
      <color indexed="10"/>
      <name val="Helv"/>
    </font>
    <font>
      <b/>
      <sz val="12"/>
      <color indexed="8"/>
      <name val="Helv"/>
    </font>
    <font>
      <sz val="12"/>
      <color indexed="9"/>
      <name val="Helv"/>
    </font>
    <font>
      <sz val="12"/>
      <color indexed="23"/>
      <name val="Helv"/>
    </font>
    <font>
      <sz val="12"/>
      <name val="Times New Roman"/>
      <family val="1"/>
    </font>
    <font>
      <sz val="12"/>
      <color indexed="13"/>
      <name val="Helv"/>
    </font>
    <font>
      <b/>
      <sz val="14"/>
      <name val="Helv"/>
    </font>
    <font>
      <sz val="14"/>
      <name val="Helv"/>
    </font>
    <font>
      <sz val="10"/>
      <name val="Helv"/>
    </font>
    <font>
      <sz val="8"/>
      <name val="Helv"/>
    </font>
    <font>
      <b/>
      <u/>
      <sz val="12"/>
      <color indexed="10"/>
      <name val="Times New Roman"/>
      <family val="1"/>
    </font>
    <font>
      <sz val="12"/>
      <name val="Times New Roman"/>
      <family val="1"/>
    </font>
    <font>
      <i/>
      <u/>
      <sz val="12"/>
      <color indexed="20"/>
      <name val="Times New Roman"/>
      <family val="1"/>
    </font>
    <font>
      <b/>
      <sz val="12"/>
      <color indexed="12"/>
      <name val="Helv"/>
    </font>
    <font>
      <b/>
      <sz val="12"/>
      <color indexed="12"/>
      <name val="Times New Roman"/>
      <family val="1"/>
    </font>
    <font>
      <b/>
      <u/>
      <sz val="18"/>
      <color indexed="10"/>
      <name val="Helv"/>
    </font>
    <font>
      <u/>
      <sz val="12"/>
      <color indexed="10"/>
      <name val="Helv"/>
    </font>
    <font>
      <sz val="12"/>
      <color indexed="10"/>
      <name val="Helv"/>
    </font>
    <font>
      <b/>
      <u/>
      <sz val="16"/>
      <color indexed="8"/>
      <name val="Times New Roman"/>
      <family val="1"/>
    </font>
    <font>
      <sz val="16"/>
      <name val="Helv"/>
    </font>
    <font>
      <b/>
      <sz val="16"/>
      <color indexed="10"/>
      <name val="Helv"/>
    </font>
    <font>
      <i/>
      <u/>
      <sz val="14"/>
      <color indexed="20"/>
      <name val="Times New Roman"/>
      <family val="1"/>
    </font>
    <font>
      <i/>
      <sz val="14"/>
      <color indexed="20"/>
      <name val="Times New Roman"/>
      <family val="1"/>
    </font>
    <font>
      <b/>
      <i/>
      <sz val="12"/>
      <color indexed="10"/>
      <name val="Helv"/>
    </font>
    <font>
      <b/>
      <sz val="12"/>
      <color indexed="39"/>
      <name val="Times New Roman"/>
      <family val="1"/>
    </font>
    <font>
      <b/>
      <i/>
      <sz val="22"/>
      <name val="Helv"/>
    </font>
    <font>
      <sz val="22"/>
      <name val="Helv"/>
    </font>
    <font>
      <sz val="12"/>
      <name val="Helv"/>
    </font>
    <font>
      <sz val="12"/>
      <color rgb="FF000000"/>
      <name val="Helv"/>
    </font>
    <font>
      <b/>
      <u/>
      <sz val="16"/>
      <color indexed="8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18"/>
      <name val="Calibri"/>
      <family val="2"/>
      <scheme val="minor"/>
    </font>
    <font>
      <sz val="12"/>
      <color indexed="23"/>
      <name val="Calibri"/>
      <family val="2"/>
      <scheme val="minor"/>
    </font>
    <font>
      <b/>
      <sz val="12"/>
      <color indexed="39"/>
      <name val="Calibri"/>
      <family val="2"/>
      <scheme val="minor"/>
    </font>
    <font>
      <b/>
      <u/>
      <sz val="12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i/>
      <u/>
      <sz val="12"/>
      <color indexed="20"/>
      <name val="Calibri"/>
      <family val="2"/>
      <scheme val="minor"/>
    </font>
    <font>
      <sz val="12"/>
      <color indexed="13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4"/>
      <color indexed="9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4"/>
      <color indexed="10"/>
      <name val="Calibri"/>
      <family val="2"/>
      <scheme val="minor"/>
    </font>
    <font>
      <b/>
      <u/>
      <sz val="14"/>
      <color indexed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u/>
      <sz val="14"/>
      <color indexed="36"/>
      <name val="Calibri"/>
      <family val="2"/>
      <scheme val="minor"/>
    </font>
    <font>
      <i/>
      <u/>
      <sz val="12"/>
      <color indexed="1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CFCB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thick">
        <color indexed="64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/>
      <right/>
      <top style="thick">
        <color indexed="64"/>
      </top>
      <bottom style="medium">
        <color theme="5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435">
    <xf numFmtId="164" fontId="0" fillId="0" borderId="0" xfId="0"/>
    <xf numFmtId="164" fontId="0" fillId="0" borderId="0" xfId="0" applyProtection="1"/>
    <xf numFmtId="167" fontId="0" fillId="0" borderId="0" xfId="0" applyNumberFormat="1" applyProtection="1"/>
    <xf numFmtId="164" fontId="0" fillId="0" borderId="0" xfId="0" applyAlignment="1">
      <alignment horizontal="center"/>
    </xf>
    <xf numFmtId="165" fontId="0" fillId="0" borderId="0" xfId="0" applyNumberFormat="1" applyProtection="1">
      <protection locked="0"/>
    </xf>
    <xf numFmtId="164" fontId="0" fillId="0" borderId="0" xfId="0" applyProtection="1">
      <protection locked="0"/>
    </xf>
    <xf numFmtId="164" fontId="3" fillId="0" borderId="0" xfId="0" applyFont="1" applyAlignment="1">
      <alignment vertical="center"/>
    </xf>
    <xf numFmtId="165" fontId="0" fillId="0" borderId="4" xfId="0" applyNumberFormat="1" applyBorder="1" applyProtection="1"/>
    <xf numFmtId="168" fontId="5" fillId="0" borderId="0" xfId="0" applyNumberFormat="1" applyFont="1" applyBorder="1" applyProtection="1"/>
    <xf numFmtId="164" fontId="0" fillId="0" borderId="0" xfId="0" applyBorder="1" applyAlignment="1" applyProtection="1">
      <alignment horizontal="centerContinuous"/>
    </xf>
    <xf numFmtId="164" fontId="2" fillId="0" borderId="0" xfId="0" applyFont="1" applyBorder="1" applyAlignment="1" applyProtection="1">
      <alignment horizontal="centerContinuous"/>
    </xf>
    <xf numFmtId="164" fontId="6" fillId="0" borderId="0" xfId="0" applyFont="1" applyBorder="1" applyAlignment="1" applyProtection="1">
      <alignment horizontal="right"/>
    </xf>
    <xf numFmtId="164" fontId="6" fillId="0" borderId="3" xfId="0" applyFont="1" applyBorder="1" applyAlignment="1" applyProtection="1">
      <alignment horizontal="right"/>
    </xf>
    <xf numFmtId="164" fontId="2" fillId="0" borderId="0" xfId="0" applyFont="1" applyBorder="1" applyAlignment="1" applyProtection="1">
      <alignment horizontal="right"/>
    </xf>
    <xf numFmtId="164" fontId="0" fillId="0" borderId="3" xfId="0" applyBorder="1" applyProtection="1"/>
    <xf numFmtId="164" fontId="0" fillId="0" borderId="0" xfId="0" applyBorder="1" applyProtection="1"/>
    <xf numFmtId="165" fontId="0" fillId="0" borderId="4" xfId="0" applyNumberFormat="1" applyBorder="1" applyProtection="1">
      <protection locked="0"/>
    </xf>
    <xf numFmtId="165" fontId="0" fillId="0" borderId="5" xfId="0" applyNumberFormat="1" applyBorder="1" applyProtection="1">
      <protection locked="0"/>
    </xf>
    <xf numFmtId="164" fontId="0" fillId="0" borderId="6" xfId="0" applyBorder="1" applyProtection="1"/>
    <xf numFmtId="164" fontId="0" fillId="0" borderId="7" xfId="0" applyBorder="1" applyProtection="1"/>
    <xf numFmtId="170" fontId="0" fillId="0" borderId="0" xfId="0" applyNumberFormat="1"/>
    <xf numFmtId="164" fontId="0" fillId="0" borderId="0" xfId="0" applyProtection="1">
      <protection hidden="1"/>
    </xf>
    <xf numFmtId="164" fontId="16" fillId="0" borderId="21" xfId="0" applyFont="1" applyBorder="1" applyAlignment="1">
      <alignment horizontal="centerContinuous"/>
    </xf>
    <xf numFmtId="164" fontId="17" fillId="0" borderId="22" xfId="0" applyFont="1" applyBorder="1" applyAlignment="1">
      <alignment horizontal="centerContinuous"/>
    </xf>
    <xf numFmtId="164" fontId="17" fillId="0" borderId="23" xfId="0" applyFont="1" applyBorder="1" applyAlignment="1">
      <alignment horizontal="centerContinuous"/>
    </xf>
    <xf numFmtId="164" fontId="0" fillId="0" borderId="24" xfId="0" quotePrefix="1" applyBorder="1" applyAlignment="1">
      <alignment horizontal="centerContinuous"/>
    </xf>
    <xf numFmtId="164" fontId="0" fillId="0" borderId="0" xfId="0" applyBorder="1" applyAlignment="1">
      <alignment horizontal="centerContinuous"/>
    </xf>
    <xf numFmtId="164" fontId="0" fillId="0" borderId="25" xfId="0" applyBorder="1" applyAlignment="1">
      <alignment horizontal="centerContinuous"/>
    </xf>
    <xf numFmtId="164" fontId="0" fillId="0" borderId="24" xfId="0" applyBorder="1" applyAlignment="1">
      <alignment horizontal="centerContinuous"/>
    </xf>
    <xf numFmtId="164" fontId="18" fillId="0" borderId="24" xfId="0" applyFont="1" applyBorder="1" applyAlignment="1">
      <alignment horizontal="centerContinuous"/>
    </xf>
    <xf numFmtId="164" fontId="0" fillId="0" borderId="26" xfId="0" applyBorder="1"/>
    <xf numFmtId="164" fontId="0" fillId="0" borderId="27" xfId="0" applyBorder="1"/>
    <xf numFmtId="164" fontId="0" fillId="0" borderId="28" xfId="0" applyBorder="1"/>
    <xf numFmtId="164" fontId="0" fillId="5" borderId="29" xfId="0" applyFill="1" applyBorder="1" applyAlignment="1">
      <alignment horizontal="center"/>
    </xf>
    <xf numFmtId="164" fontId="0" fillId="5" borderId="30" xfId="0" applyFill="1" applyBorder="1" applyAlignment="1">
      <alignment horizontal="center"/>
    </xf>
    <xf numFmtId="164" fontId="0" fillId="5" borderId="30" xfId="0" quotePrefix="1" applyFill="1" applyBorder="1" applyAlignment="1">
      <alignment horizontal="center"/>
    </xf>
    <xf numFmtId="164" fontId="0" fillId="0" borderId="31" xfId="0" applyBorder="1" applyAlignment="1">
      <alignment horizontal="center"/>
    </xf>
    <xf numFmtId="164" fontId="0" fillId="0" borderId="32" xfId="0" applyBorder="1" applyAlignment="1">
      <alignment horizontal="center"/>
    </xf>
    <xf numFmtId="164" fontId="0" fillId="0" borderId="20" xfId="0" applyBorder="1" applyAlignment="1">
      <alignment horizontal="center"/>
    </xf>
    <xf numFmtId="164" fontId="0" fillId="0" borderId="19" xfId="0" applyBorder="1" applyAlignment="1">
      <alignment horizontal="center"/>
    </xf>
    <xf numFmtId="164" fontId="0" fillId="0" borderId="19" xfId="0" applyBorder="1"/>
    <xf numFmtId="164" fontId="12" fillId="0" borderId="31" xfId="0" applyFont="1" applyBorder="1" applyAlignment="1">
      <alignment horizontal="center"/>
    </xf>
    <xf numFmtId="164" fontId="12" fillId="0" borderId="32" xfId="0" applyFont="1" applyBorder="1" applyAlignment="1">
      <alignment horizontal="center"/>
    </xf>
    <xf numFmtId="164" fontId="5" fillId="0" borderId="20" xfId="0" applyFont="1" applyBorder="1" applyAlignment="1">
      <alignment horizontal="center"/>
    </xf>
    <xf numFmtId="164" fontId="5" fillId="0" borderId="19" xfId="0" applyFont="1" applyBorder="1" applyAlignment="1">
      <alignment horizontal="center"/>
    </xf>
    <xf numFmtId="164" fontId="0" fillId="5" borderId="33" xfId="0" applyFill="1" applyBorder="1" applyAlignment="1">
      <alignment horizontal="center"/>
    </xf>
    <xf numFmtId="164" fontId="0" fillId="0" borderId="34" xfId="0" applyBorder="1" applyAlignment="1">
      <alignment horizontal="center"/>
    </xf>
    <xf numFmtId="164" fontId="0" fillId="0" borderId="28" xfId="0" applyBorder="1" applyAlignment="1">
      <alignment horizontal="center"/>
    </xf>
    <xf numFmtId="164" fontId="12" fillId="0" borderId="34" xfId="0" applyFont="1" applyBorder="1" applyAlignment="1">
      <alignment horizontal="center"/>
    </xf>
    <xf numFmtId="164" fontId="12" fillId="0" borderId="28" xfId="0" applyFont="1" applyBorder="1" applyAlignment="1">
      <alignment horizontal="center"/>
    </xf>
    <xf numFmtId="164" fontId="0" fillId="0" borderId="35" xfId="0" applyBorder="1" applyAlignment="1">
      <alignment horizontal="center"/>
    </xf>
    <xf numFmtId="164" fontId="0" fillId="0" borderId="27" xfId="0" applyBorder="1" applyAlignment="1">
      <alignment horizontal="center"/>
    </xf>
    <xf numFmtId="164" fontId="0" fillId="0" borderId="22" xfId="0" applyBorder="1" applyAlignment="1">
      <alignment horizontal="centerContinuous"/>
    </xf>
    <xf numFmtId="164" fontId="0" fillId="0" borderId="23" xfId="0" applyBorder="1" applyAlignment="1">
      <alignment horizontal="centerContinuous"/>
    </xf>
    <xf numFmtId="164" fontId="0" fillId="0" borderId="34" xfId="0" applyBorder="1" applyAlignment="1">
      <alignment horizontal="centerContinuous"/>
    </xf>
    <xf numFmtId="164" fontId="0" fillId="0" borderId="28" xfId="0" applyBorder="1" applyAlignment="1">
      <alignment horizontal="centerContinuous"/>
    </xf>
    <xf numFmtId="164" fontId="0" fillId="0" borderId="34" xfId="0" quotePrefix="1" applyBorder="1" applyAlignment="1">
      <alignment horizontal="centerContinuous"/>
    </xf>
    <xf numFmtId="164" fontId="21" fillId="2" borderId="0" xfId="0" applyFont="1" applyFill="1" applyProtection="1">
      <protection hidden="1"/>
    </xf>
    <xf numFmtId="164" fontId="0" fillId="2" borderId="0" xfId="0" applyFill="1"/>
    <xf numFmtId="164" fontId="0" fillId="2" borderId="0" xfId="0" applyFill="1" applyProtection="1">
      <protection hidden="1"/>
    </xf>
    <xf numFmtId="164" fontId="21" fillId="2" borderId="0" xfId="0" applyFont="1" applyFill="1" applyAlignment="1" applyProtection="1">
      <alignment horizontal="center"/>
      <protection hidden="1"/>
    </xf>
    <xf numFmtId="164" fontId="10" fillId="2" borderId="0" xfId="0" applyFont="1" applyFill="1" applyAlignment="1" applyProtection="1">
      <alignment horizontal="center"/>
      <protection hidden="1"/>
    </xf>
    <xf numFmtId="164" fontId="0" fillId="2" borderId="0" xfId="0" applyFill="1" applyAlignment="1">
      <alignment horizontal="center"/>
    </xf>
    <xf numFmtId="164" fontId="3" fillId="0" borderId="0" xfId="0" applyFont="1" applyProtection="1">
      <protection hidden="1"/>
    </xf>
    <xf numFmtId="164" fontId="0" fillId="0" borderId="0" xfId="0" applyBorder="1" applyProtection="1">
      <protection hidden="1"/>
    </xf>
    <xf numFmtId="164" fontId="0" fillId="2" borderId="0" xfId="0" applyFill="1" applyBorder="1" applyProtection="1">
      <protection hidden="1"/>
    </xf>
    <xf numFmtId="164" fontId="3" fillId="2" borderId="0" xfId="0" applyFont="1" applyFill="1" applyBorder="1" applyProtection="1">
      <protection hidden="1"/>
    </xf>
    <xf numFmtId="164" fontId="0" fillId="2" borderId="40" xfId="0" applyFill="1" applyBorder="1" applyAlignment="1" applyProtection="1">
      <alignment horizontal="center"/>
      <protection hidden="1"/>
    </xf>
    <xf numFmtId="164" fontId="0" fillId="2" borderId="0" xfId="0" applyFill="1" applyAlignment="1" applyProtection="1">
      <alignment horizontal="center"/>
      <protection hidden="1"/>
    </xf>
    <xf numFmtId="171" fontId="3" fillId="6" borderId="41" xfId="0" applyNumberFormat="1" applyFont="1" applyFill="1" applyBorder="1" applyAlignment="1" applyProtection="1">
      <alignment horizontal="center"/>
      <protection locked="0"/>
    </xf>
    <xf numFmtId="177" fontId="3" fillId="6" borderId="41" xfId="0" applyNumberFormat="1" applyFont="1" applyFill="1" applyBorder="1" applyAlignment="1" applyProtection="1">
      <alignment horizontal="center"/>
      <protection locked="0"/>
    </xf>
    <xf numFmtId="164" fontId="21" fillId="2" borderId="0" xfId="0" applyFont="1" applyFill="1" applyAlignment="1" applyProtection="1">
      <alignment horizontal="left"/>
      <protection hidden="1"/>
    </xf>
    <xf numFmtId="164" fontId="10" fillId="2" borderId="0" xfId="0" applyFont="1" applyFill="1" applyBorder="1" applyAlignment="1" applyProtection="1">
      <alignment horizontal="center"/>
      <protection hidden="1"/>
    </xf>
    <xf numFmtId="164" fontId="22" fillId="2" borderId="0" xfId="0" applyFont="1" applyFill="1" applyBorder="1" applyAlignment="1" applyProtection="1">
      <alignment horizontal="left"/>
      <protection hidden="1"/>
    </xf>
    <xf numFmtId="164" fontId="24" fillId="2" borderId="0" xfId="0" applyFont="1" applyFill="1" applyAlignment="1" applyProtection="1">
      <alignment horizontal="center"/>
      <protection hidden="1"/>
    </xf>
    <xf numFmtId="164" fontId="25" fillId="0" borderId="0" xfId="0" applyFont="1" applyAlignment="1" applyProtection="1">
      <alignment horizontal="centerContinuous" vertical="center"/>
    </xf>
    <xf numFmtId="164" fontId="26" fillId="0" borderId="0" xfId="0" applyFont="1" applyAlignment="1" applyProtection="1">
      <alignment vertical="center"/>
    </xf>
    <xf numFmtId="164" fontId="26" fillId="7" borderId="0" xfId="0" applyFont="1" applyFill="1" applyAlignment="1" applyProtection="1">
      <alignment vertical="center"/>
    </xf>
    <xf numFmtId="164" fontId="27" fillId="0" borderId="0" xfId="0" applyFont="1" applyAlignment="1" applyProtection="1">
      <alignment horizontal="centerContinuous" vertical="center"/>
    </xf>
    <xf numFmtId="164" fontId="0" fillId="0" borderId="0" xfId="0" applyAlignment="1" applyProtection="1">
      <alignment horizontal="centerContinuous" vertical="center"/>
    </xf>
    <xf numFmtId="164" fontId="8" fillId="4" borderId="13" xfId="0" applyFont="1" applyFill="1" applyBorder="1" applyAlignment="1" applyProtection="1">
      <alignment horizontal="centerContinuous"/>
    </xf>
    <xf numFmtId="164" fontId="7" fillId="4" borderId="14" xfId="0" applyFont="1" applyFill="1" applyBorder="1" applyAlignment="1" applyProtection="1">
      <alignment horizontal="centerContinuous"/>
    </xf>
    <xf numFmtId="164" fontId="7" fillId="4" borderId="42" xfId="0" applyFont="1" applyFill="1" applyBorder="1" applyAlignment="1" applyProtection="1">
      <alignment horizontal="centerContinuous"/>
    </xf>
    <xf numFmtId="164" fontId="0" fillId="0" borderId="14" xfId="0" applyBorder="1" applyProtection="1"/>
    <xf numFmtId="164" fontId="0" fillId="0" borderId="15" xfId="0" applyBorder="1" applyProtection="1"/>
    <xf numFmtId="164" fontId="0" fillId="7" borderId="0" xfId="0" applyFill="1" applyProtection="1"/>
    <xf numFmtId="164" fontId="7" fillId="4" borderId="15" xfId="0" applyFont="1" applyFill="1" applyBorder="1" applyAlignment="1" applyProtection="1">
      <alignment horizontal="centerContinuous"/>
    </xf>
    <xf numFmtId="164" fontId="0" fillId="0" borderId="13" xfId="0" applyBorder="1" applyProtection="1"/>
    <xf numFmtId="164" fontId="0" fillId="4" borderId="43" xfId="0" applyFill="1" applyBorder="1" applyProtection="1"/>
    <xf numFmtId="164" fontId="0" fillId="4" borderId="6" xfId="0" applyFill="1" applyBorder="1" applyProtection="1"/>
    <xf numFmtId="164" fontId="0" fillId="4" borderId="7" xfId="0" applyFill="1" applyBorder="1" applyProtection="1"/>
    <xf numFmtId="164" fontId="0" fillId="0" borderId="16" xfId="0" applyBorder="1" applyProtection="1"/>
    <xf numFmtId="164" fontId="0" fillId="4" borderId="44" xfId="0" applyFill="1" applyBorder="1" applyProtection="1"/>
    <xf numFmtId="164" fontId="0" fillId="0" borderId="11" xfId="0" applyBorder="1" applyProtection="1"/>
    <xf numFmtId="165" fontId="0" fillId="0" borderId="11" xfId="0" applyNumberFormat="1" applyBorder="1" applyProtection="1"/>
    <xf numFmtId="164" fontId="0" fillId="0" borderId="0" xfId="0" applyBorder="1" applyAlignment="1" applyProtection="1">
      <alignment horizontal="center" wrapText="1"/>
    </xf>
    <xf numFmtId="164" fontId="0" fillId="0" borderId="3" xfId="0" applyBorder="1" applyAlignment="1" applyProtection="1">
      <alignment horizontal="center"/>
    </xf>
    <xf numFmtId="164" fontId="0" fillId="0" borderId="16" xfId="0" applyBorder="1" applyAlignment="1" applyProtection="1">
      <alignment horizontal="center"/>
    </xf>
    <xf numFmtId="1" fontId="2" fillId="3" borderId="1" xfId="0" applyNumberFormat="1" applyFont="1" applyFill="1" applyBorder="1" applyAlignment="1" applyProtection="1">
      <alignment horizontal="center"/>
    </xf>
    <xf numFmtId="1" fontId="2" fillId="3" borderId="2" xfId="0" applyNumberFormat="1" applyFont="1" applyFill="1" applyBorder="1" applyAlignment="1" applyProtection="1">
      <alignment horizontal="center"/>
    </xf>
    <xf numFmtId="164" fontId="0" fillId="0" borderId="11" xfId="0" applyBorder="1" applyAlignment="1" applyProtection="1">
      <alignment horizontal="center"/>
    </xf>
    <xf numFmtId="169" fontId="2" fillId="3" borderId="1" xfId="0" applyNumberFormat="1" applyFont="1" applyFill="1" applyBorder="1" applyProtection="1"/>
    <xf numFmtId="168" fontId="0" fillId="0" borderId="3" xfId="0" applyNumberFormat="1" applyBorder="1" applyProtection="1"/>
    <xf numFmtId="168" fontId="0" fillId="0" borderId="16" xfId="0" applyNumberFormat="1" applyBorder="1" applyProtection="1"/>
    <xf numFmtId="164" fontId="4" fillId="0" borderId="11" xfId="0" applyFont="1" applyBorder="1" applyAlignment="1" applyProtection="1">
      <alignment horizontal="centerContinuous"/>
    </xf>
    <xf numFmtId="164" fontId="0" fillId="0" borderId="3" xfId="0" applyBorder="1" applyAlignment="1" applyProtection="1">
      <alignment horizontal="centerContinuous"/>
    </xf>
    <xf numFmtId="164" fontId="0" fillId="0" borderId="16" xfId="0" applyBorder="1" applyAlignment="1" applyProtection="1">
      <alignment horizontal="centerContinuous"/>
    </xf>
    <xf numFmtId="166" fontId="0" fillId="0" borderId="11" xfId="0" applyNumberFormat="1" applyBorder="1" applyAlignment="1" applyProtection="1">
      <alignment horizontal="center"/>
    </xf>
    <xf numFmtId="168" fontId="2" fillId="0" borderId="0" xfId="0" applyNumberFormat="1" applyFont="1" applyBorder="1" applyProtection="1"/>
    <xf numFmtId="164" fontId="6" fillId="0" borderId="11" xfId="0" applyFont="1" applyBorder="1" applyAlignment="1" applyProtection="1">
      <alignment horizontal="center"/>
    </xf>
    <xf numFmtId="164" fontId="6" fillId="0" borderId="16" xfId="0" applyFont="1" applyBorder="1" applyAlignment="1" applyProtection="1">
      <alignment horizontal="right"/>
    </xf>
    <xf numFmtId="165" fontId="2" fillId="3" borderId="45" xfId="0" applyNumberFormat="1" applyFont="1" applyFill="1" applyBorder="1" applyProtection="1"/>
    <xf numFmtId="164" fontId="0" fillId="0" borderId="17" xfId="0" applyBorder="1" applyProtection="1"/>
    <xf numFmtId="164" fontId="0" fillId="0" borderId="46" xfId="0" applyBorder="1" applyProtection="1"/>
    <xf numFmtId="167" fontId="0" fillId="0" borderId="17" xfId="0" applyNumberFormat="1" applyBorder="1" applyProtection="1"/>
    <xf numFmtId="167" fontId="0" fillId="0" borderId="18" xfId="0" applyNumberFormat="1" applyBorder="1" applyProtection="1"/>
    <xf numFmtId="164" fontId="0" fillId="0" borderId="18" xfId="0" applyBorder="1" applyProtection="1"/>
    <xf numFmtId="167" fontId="0" fillId="0" borderId="12" xfId="0" applyNumberFormat="1" applyBorder="1" applyProtection="1"/>
    <xf numFmtId="165" fontId="0" fillId="0" borderId="5" xfId="0" applyNumberFormat="1" applyBorder="1" applyProtection="1"/>
    <xf numFmtId="165" fontId="0" fillId="0" borderId="0" xfId="0" applyNumberFormat="1" applyProtection="1"/>
    <xf numFmtId="164" fontId="0" fillId="2" borderId="0" xfId="0" applyFill="1" applyProtection="1"/>
    <xf numFmtId="164" fontId="27" fillId="0" borderId="0" xfId="0" applyFont="1" applyProtection="1"/>
    <xf numFmtId="49" fontId="2" fillId="3" borderId="2" xfId="0" applyNumberFormat="1" applyFont="1" applyFill="1" applyBorder="1" applyAlignment="1" applyProtection="1">
      <alignment horizontal="center"/>
    </xf>
    <xf numFmtId="49" fontId="2" fillId="3" borderId="1" xfId="0" applyNumberFormat="1" applyFont="1" applyFill="1" applyBorder="1" applyAlignment="1" applyProtection="1">
      <alignment horizontal="center"/>
    </xf>
    <xf numFmtId="164" fontId="0" fillId="0" borderId="0" xfId="0" quotePrefix="1" applyProtection="1"/>
    <xf numFmtId="164" fontId="0" fillId="0" borderId="1" xfId="0" applyBorder="1" applyProtection="1"/>
    <xf numFmtId="1" fontId="0" fillId="0" borderId="0" xfId="0" applyNumberFormat="1"/>
    <xf numFmtId="164" fontId="20" fillId="2" borderId="0" xfId="0" applyFont="1" applyFill="1" applyAlignment="1" applyProtection="1">
      <alignment horizontal="centerContinuous"/>
      <protection hidden="1"/>
    </xf>
    <xf numFmtId="164" fontId="20" fillId="2" borderId="0" xfId="0" applyFont="1" applyFill="1" applyBorder="1" applyAlignment="1" applyProtection="1">
      <alignment horizontal="centerContinuous"/>
      <protection hidden="1"/>
    </xf>
    <xf numFmtId="164" fontId="13" fillId="2" borderId="0" xfId="0" applyFont="1" applyFill="1" applyAlignment="1" applyProtection="1">
      <alignment horizontal="centerContinuous"/>
      <protection hidden="1"/>
    </xf>
    <xf numFmtId="164" fontId="10" fillId="2" borderId="0" xfId="0" applyFont="1" applyFill="1" applyAlignment="1" applyProtection="1">
      <alignment horizontal="centerContinuous"/>
      <protection hidden="1"/>
    </xf>
    <xf numFmtId="164" fontId="10" fillId="2" borderId="0" xfId="0" applyFont="1" applyFill="1" applyBorder="1" applyAlignment="1" applyProtection="1">
      <alignment horizontal="centerContinuous"/>
      <protection hidden="1"/>
    </xf>
    <xf numFmtId="164" fontId="4" fillId="2" borderId="0" xfId="0" applyFont="1" applyFill="1" applyAlignment="1" applyProtection="1">
      <alignment horizontal="centerContinuous"/>
      <protection hidden="1"/>
    </xf>
    <xf numFmtId="164" fontId="4" fillId="2" borderId="0" xfId="0" applyFont="1" applyFill="1" applyBorder="1" applyAlignment="1" applyProtection="1">
      <alignment horizontal="centerContinuous"/>
      <protection hidden="1"/>
    </xf>
    <xf numFmtId="164" fontId="10" fillId="2" borderId="0" xfId="0" quotePrefix="1" applyFont="1" applyFill="1" applyAlignment="1" applyProtection="1">
      <alignment horizontal="centerContinuous"/>
      <protection hidden="1"/>
    </xf>
    <xf numFmtId="164" fontId="10" fillId="2" borderId="0" xfId="0" quotePrefix="1" applyFont="1" applyFill="1" applyBorder="1" applyAlignment="1" applyProtection="1">
      <alignment horizontal="centerContinuous"/>
      <protection hidden="1"/>
    </xf>
    <xf numFmtId="164" fontId="28" fillId="3" borderId="37" xfId="0" applyFont="1" applyFill="1" applyBorder="1" applyAlignment="1" applyProtection="1">
      <alignment horizontal="centerContinuous" vertical="center"/>
      <protection hidden="1"/>
    </xf>
    <xf numFmtId="164" fontId="31" fillId="2" borderId="0" xfId="0" applyFont="1" applyFill="1" applyAlignment="1" applyProtection="1">
      <alignment horizontal="left"/>
      <protection hidden="1"/>
    </xf>
    <xf numFmtId="164" fontId="7" fillId="3" borderId="38" xfId="0" applyFont="1" applyFill="1" applyBorder="1" applyAlignment="1" applyProtection="1">
      <alignment horizontal="centerContinuous" vertical="center"/>
      <protection hidden="1"/>
    </xf>
    <xf numFmtId="164" fontId="29" fillId="3" borderId="38" xfId="0" applyFont="1" applyFill="1" applyBorder="1" applyAlignment="1" applyProtection="1">
      <alignment horizontal="centerContinuous" vertical="center"/>
      <protection hidden="1"/>
    </xf>
    <xf numFmtId="164" fontId="29" fillId="3" borderId="39" xfId="0" applyFont="1" applyFill="1" applyBorder="1" applyAlignment="1" applyProtection="1">
      <alignment horizontal="centerContinuous" vertical="center"/>
      <protection hidden="1"/>
    </xf>
    <xf numFmtId="164" fontId="30" fillId="0" borderId="0" xfId="0" applyFont="1" applyAlignment="1" applyProtection="1">
      <alignment vertical="center"/>
      <protection hidden="1"/>
    </xf>
    <xf numFmtId="164" fontId="29" fillId="2" borderId="0" xfId="0" applyFont="1" applyFill="1" applyAlignment="1" applyProtection="1">
      <alignment vertical="center"/>
      <protection hidden="1"/>
    </xf>
    <xf numFmtId="164" fontId="29" fillId="0" borderId="0" xfId="0" applyFont="1" applyAlignment="1" applyProtection="1">
      <alignment vertical="center"/>
      <protection hidden="1"/>
    </xf>
    <xf numFmtId="164" fontId="3" fillId="2" borderId="0" xfId="0" applyFont="1" applyFill="1" applyAlignment="1" applyProtection="1">
      <alignment horizontal="center"/>
      <protection hidden="1"/>
    </xf>
    <xf numFmtId="164" fontId="3" fillId="2" borderId="0" xfId="0" applyFont="1" applyFill="1" applyBorder="1" applyAlignment="1" applyProtection="1">
      <alignment horizontal="center"/>
      <protection hidden="1"/>
    </xf>
    <xf numFmtId="164" fontId="10" fillId="0" borderId="0" xfId="0" applyFont="1" applyProtection="1">
      <protection hidden="1"/>
    </xf>
    <xf numFmtId="171" fontId="3" fillId="2" borderId="0" xfId="0" applyNumberFormat="1" applyFont="1" applyFill="1" applyBorder="1" applyAlignment="1" applyProtection="1">
      <alignment horizontal="center"/>
      <protection hidden="1"/>
    </xf>
    <xf numFmtId="164" fontId="0" fillId="2" borderId="0" xfId="0" applyFill="1" applyBorder="1" applyAlignment="1" applyProtection="1">
      <alignment horizontal="centerContinuous"/>
      <protection hidden="1"/>
    </xf>
    <xf numFmtId="164" fontId="15" fillId="2" borderId="0" xfId="0" applyFont="1" applyFill="1" applyAlignment="1" applyProtection="1">
      <alignment horizontal="centerContinuous"/>
      <protection hidden="1"/>
    </xf>
    <xf numFmtId="164" fontId="15" fillId="2" borderId="0" xfId="0" applyFont="1" applyFill="1" applyProtection="1">
      <protection hidden="1"/>
    </xf>
    <xf numFmtId="164" fontId="15" fillId="2" borderId="0" xfId="0" applyFont="1" applyFill="1" applyBorder="1" applyProtection="1">
      <protection hidden="1"/>
    </xf>
    <xf numFmtId="164" fontId="13" fillId="2" borderId="0" xfId="0" applyFont="1" applyFill="1" applyBorder="1" applyAlignment="1" applyProtection="1">
      <alignment horizontal="centerContinuous"/>
      <protection hidden="1"/>
    </xf>
    <xf numFmtId="164" fontId="0" fillId="2" borderId="0" xfId="0" applyFill="1" applyAlignment="1" applyProtection="1">
      <alignment horizontal="centerContinuous"/>
      <protection hidden="1"/>
    </xf>
    <xf numFmtId="164" fontId="0" fillId="0" borderId="0" xfId="0" quotePrefix="1" applyProtection="1">
      <protection hidden="1"/>
    </xf>
    <xf numFmtId="164" fontId="3" fillId="0" borderId="40" xfId="0" applyFont="1" applyBorder="1" applyAlignment="1" applyProtection="1">
      <alignment horizontal="center" vertical="center"/>
      <protection hidden="1"/>
    </xf>
    <xf numFmtId="164" fontId="0" fillId="0" borderId="0" xfId="0" applyAlignment="1" applyProtection="1">
      <alignment horizontal="center" vertical="center"/>
      <protection hidden="1"/>
    </xf>
    <xf numFmtId="164" fontId="11" fillId="3" borderId="47" xfId="0" applyFont="1" applyFill="1" applyBorder="1" applyAlignment="1" applyProtection="1">
      <alignment horizontal="center" vertical="center"/>
      <protection hidden="1"/>
    </xf>
    <xf numFmtId="164" fontId="11" fillId="3" borderId="1" xfId="0" applyFont="1" applyFill="1" applyBorder="1" applyAlignment="1" applyProtection="1">
      <alignment horizontal="center" vertical="center"/>
      <protection hidden="1"/>
    </xf>
    <xf numFmtId="164" fontId="3" fillId="0" borderId="0" xfId="0" applyFont="1" applyBorder="1" applyProtection="1">
      <protection hidden="1"/>
    </xf>
    <xf numFmtId="164" fontId="3" fillId="0" borderId="0" xfId="0" applyFont="1" applyBorder="1" applyAlignment="1" applyProtection="1">
      <alignment horizontal="center" vertical="center"/>
      <protection hidden="1"/>
    </xf>
    <xf numFmtId="164" fontId="3" fillId="0" borderId="0" xfId="0" applyFont="1" applyAlignment="1" applyProtection="1">
      <alignment horizontal="center" vertical="center"/>
      <protection hidden="1"/>
    </xf>
    <xf numFmtId="164" fontId="0" fillId="2" borderId="0" xfId="0" applyFill="1" applyAlignment="1" applyProtection="1">
      <alignment horizontal="center" vertical="center"/>
      <protection hidden="1"/>
    </xf>
    <xf numFmtId="49" fontId="11" fillId="2" borderId="0" xfId="0" applyNumberFormat="1" applyFont="1" applyFill="1" applyBorder="1" applyAlignment="1" applyProtection="1">
      <alignment horizontal="center" vertical="center"/>
      <protection hidden="1"/>
    </xf>
    <xf numFmtId="164" fontId="11" fillId="2" borderId="0" xfId="0" applyFont="1" applyFill="1" applyBorder="1" applyAlignment="1" applyProtection="1">
      <alignment horizontal="center" vertical="center"/>
      <protection hidden="1"/>
    </xf>
    <xf numFmtId="164" fontId="3" fillId="0" borderId="40" xfId="0" applyFont="1" applyBorder="1" applyAlignment="1" applyProtection="1">
      <alignment horizontal="center"/>
      <protection hidden="1"/>
    </xf>
    <xf numFmtId="164" fontId="3" fillId="0" borderId="0" xfId="0" applyFont="1" applyBorder="1" applyAlignment="1" applyProtection="1">
      <alignment horizontal="center"/>
      <protection hidden="1"/>
    </xf>
    <xf numFmtId="164" fontId="3" fillId="2" borderId="0" xfId="0" applyFont="1" applyFill="1" applyProtection="1">
      <protection hidden="1"/>
    </xf>
    <xf numFmtId="179" fontId="11" fillId="6" borderId="41" xfId="0" applyNumberFormat="1" applyFont="1" applyFill="1" applyBorder="1" applyAlignment="1" applyProtection="1">
      <alignment horizontal="center"/>
      <protection locked="0"/>
    </xf>
    <xf numFmtId="164" fontId="3" fillId="2" borderId="0" xfId="0" applyFont="1" applyFill="1" applyBorder="1" applyAlignment="1" applyProtection="1">
      <alignment horizontal="centerContinuous" vertical="center"/>
      <protection hidden="1"/>
    </xf>
    <xf numFmtId="164" fontId="33" fillId="2" borderId="0" xfId="0" applyFont="1" applyFill="1" applyAlignment="1" applyProtection="1">
      <alignment horizontal="center"/>
      <protection hidden="1"/>
    </xf>
    <xf numFmtId="164" fontId="0" fillId="8" borderId="29" xfId="0" applyFill="1" applyBorder="1" applyAlignment="1">
      <alignment horizontal="center"/>
    </xf>
    <xf numFmtId="164" fontId="0" fillId="8" borderId="21" xfId="0" applyFill="1" applyBorder="1" applyAlignment="1">
      <alignment horizontal="centerContinuous"/>
    </xf>
    <xf numFmtId="164" fontId="0" fillId="8" borderId="23" xfId="0" applyFill="1" applyBorder="1" applyAlignment="1">
      <alignment horizontal="centerContinuous"/>
    </xf>
    <xf numFmtId="164" fontId="0" fillId="8" borderId="48" xfId="0" applyFill="1" applyBorder="1" applyAlignment="1">
      <alignment horizontal="center"/>
    </xf>
    <xf numFmtId="164" fontId="0" fillId="8" borderId="24" xfId="0" applyFill="1" applyBorder="1" applyAlignment="1">
      <alignment horizontal="centerContinuous"/>
    </xf>
    <xf numFmtId="164" fontId="0" fillId="8" borderId="25" xfId="0" applyFill="1" applyBorder="1" applyAlignment="1">
      <alignment horizontal="centerContinuous"/>
    </xf>
    <xf numFmtId="164" fontId="0" fillId="8" borderId="49" xfId="0" applyFill="1" applyBorder="1"/>
    <xf numFmtId="164" fontId="0" fillId="8" borderId="31" xfId="0" applyFill="1" applyBorder="1" applyAlignment="1">
      <alignment horizontal="center"/>
    </xf>
    <xf numFmtId="164" fontId="0" fillId="8" borderId="32" xfId="0" applyFill="1" applyBorder="1" applyAlignment="1">
      <alignment horizontal="center"/>
    </xf>
    <xf numFmtId="164" fontId="0" fillId="8" borderId="30" xfId="0" applyFill="1" applyBorder="1" applyAlignment="1">
      <alignment horizontal="center"/>
    </xf>
    <xf numFmtId="164" fontId="19" fillId="8" borderId="31" xfId="0" applyFont="1" applyFill="1" applyBorder="1" applyAlignment="1">
      <alignment horizontal="center"/>
    </xf>
    <xf numFmtId="164" fontId="19" fillId="8" borderId="32" xfId="0" quotePrefix="1" applyFont="1" applyFill="1" applyBorder="1" applyAlignment="1">
      <alignment horizontal="center"/>
    </xf>
    <xf numFmtId="164" fontId="19" fillId="8" borderId="31" xfId="0" quotePrefix="1" applyFont="1" applyFill="1" applyBorder="1" applyAlignment="1">
      <alignment horizontal="center"/>
    </xf>
    <xf numFmtId="164" fontId="0" fillId="8" borderId="30" xfId="0" quotePrefix="1" applyFill="1" applyBorder="1" applyAlignment="1">
      <alignment horizontal="center"/>
    </xf>
    <xf numFmtId="164" fontId="0" fillId="8" borderId="33" xfId="0" applyFill="1" applyBorder="1" applyAlignment="1">
      <alignment horizontal="center"/>
    </xf>
    <xf numFmtId="164" fontId="19" fillId="8" borderId="32" xfId="0" applyFont="1" applyFill="1" applyBorder="1" applyAlignment="1">
      <alignment horizontal="center"/>
    </xf>
    <xf numFmtId="164" fontId="0" fillId="0" borderId="0" xfId="0" quotePrefix="1" applyBorder="1" applyAlignment="1">
      <alignment horizontal="centerContinuous"/>
    </xf>
    <xf numFmtId="164" fontId="35" fillId="0" borderId="0" xfId="0" applyFont="1" applyAlignment="1">
      <alignment horizontal="centerContinuous"/>
    </xf>
    <xf numFmtId="164" fontId="36" fillId="0" borderId="0" xfId="0" applyFont="1"/>
    <xf numFmtId="180" fontId="0" fillId="0" borderId="0" xfId="0" applyNumberFormat="1"/>
    <xf numFmtId="164" fontId="3" fillId="2" borderId="0" xfId="0" applyFont="1" applyFill="1" applyAlignment="1">
      <alignment vertical="center"/>
    </xf>
    <xf numFmtId="164" fontId="12" fillId="2" borderId="0" xfId="0" applyFont="1" applyFill="1" applyAlignment="1">
      <alignment horizontal="center"/>
    </xf>
    <xf numFmtId="170" fontId="12" fillId="2" borderId="0" xfId="0" applyNumberFormat="1" applyFont="1" applyFill="1"/>
    <xf numFmtId="180" fontId="12" fillId="2" borderId="0" xfId="0" applyNumberFormat="1" applyFont="1" applyFill="1"/>
    <xf numFmtId="164" fontId="5" fillId="2" borderId="0" xfId="0" applyFont="1" applyFill="1" applyAlignment="1">
      <alignment horizontal="center"/>
    </xf>
    <xf numFmtId="170" fontId="0" fillId="2" borderId="0" xfId="0" applyNumberFormat="1" applyFill="1"/>
    <xf numFmtId="180" fontId="0" fillId="2" borderId="0" xfId="0" applyNumberFormat="1" applyFill="1"/>
    <xf numFmtId="170" fontId="3" fillId="2" borderId="50" xfId="0" applyNumberFormat="1" applyFont="1" applyFill="1" applyBorder="1" applyAlignment="1">
      <alignment horizontal="center" vertical="center"/>
    </xf>
    <xf numFmtId="164" fontId="3" fillId="2" borderId="40" xfId="0" applyFont="1" applyFill="1" applyBorder="1" applyAlignment="1">
      <alignment horizontal="center" vertical="center" wrapText="1"/>
    </xf>
    <xf numFmtId="164" fontId="3" fillId="2" borderId="40" xfId="0" applyFont="1" applyFill="1" applyBorder="1" applyAlignment="1">
      <alignment horizontal="center" vertical="center"/>
    </xf>
    <xf numFmtId="180" fontId="3" fillId="2" borderId="40" xfId="0" applyNumberFormat="1" applyFont="1" applyFill="1" applyBorder="1" applyAlignment="1">
      <alignment horizontal="center" vertical="center"/>
    </xf>
    <xf numFmtId="164" fontId="3" fillId="2" borderId="51" xfId="0" quotePrefix="1" applyFont="1" applyFill="1" applyBorder="1" applyAlignment="1" applyProtection="1">
      <alignment horizontal="center"/>
    </xf>
    <xf numFmtId="164" fontId="3" fillId="2" borderId="20" xfId="0" applyFont="1" applyFill="1" applyBorder="1" applyAlignment="1" applyProtection="1">
      <alignment horizontal="center"/>
    </xf>
    <xf numFmtId="170" fontId="37" fillId="2" borderId="40" xfId="0" applyNumberFormat="1" applyFont="1" applyFill="1" applyBorder="1"/>
    <xf numFmtId="170" fontId="37" fillId="2" borderId="40" xfId="0" applyNumberFormat="1" applyFont="1" applyFill="1" applyBorder="1" applyProtection="1"/>
    <xf numFmtId="164" fontId="37" fillId="2" borderId="40" xfId="0" quotePrefix="1" applyFont="1" applyFill="1" applyBorder="1" applyAlignment="1" applyProtection="1">
      <alignment horizontal="center"/>
    </xf>
    <xf numFmtId="180" fontId="37" fillId="2" borderId="40" xfId="0" applyNumberFormat="1" applyFont="1" applyFill="1" applyBorder="1"/>
    <xf numFmtId="164" fontId="37" fillId="2" borderId="40" xfId="0" applyFont="1" applyFill="1" applyBorder="1" applyAlignment="1">
      <alignment horizontal="center"/>
    </xf>
    <xf numFmtId="164" fontId="37" fillId="2" borderId="40" xfId="0" applyFont="1" applyFill="1" applyBorder="1" applyAlignment="1" applyProtection="1">
      <alignment horizontal="center"/>
    </xf>
    <xf numFmtId="164" fontId="37" fillId="2" borderId="40" xfId="0" quotePrefix="1" applyFont="1" applyFill="1" applyBorder="1" applyAlignment="1">
      <alignment horizontal="center"/>
    </xf>
    <xf numFmtId="182" fontId="37" fillId="2" borderId="40" xfId="0" applyNumberFormat="1" applyFont="1" applyFill="1" applyBorder="1"/>
    <xf numFmtId="164" fontId="3" fillId="2" borderId="51" xfId="0" applyFont="1" applyFill="1" applyBorder="1" applyAlignment="1" applyProtection="1">
      <alignment horizontal="center"/>
    </xf>
    <xf numFmtId="164" fontId="37" fillId="2" borderId="4" xfId="0" applyFont="1" applyFill="1" applyBorder="1" applyAlignment="1">
      <alignment horizontal="center"/>
    </xf>
    <xf numFmtId="164" fontId="37" fillId="2" borderId="0" xfId="0" applyFont="1" applyFill="1" applyBorder="1" applyAlignment="1">
      <alignment horizontal="center"/>
    </xf>
    <xf numFmtId="170" fontId="37" fillId="2" borderId="0" xfId="0" applyNumberFormat="1" applyFont="1" applyFill="1" applyBorder="1"/>
    <xf numFmtId="180" fontId="37" fillId="2" borderId="0" xfId="0" applyNumberFormat="1" applyFont="1" applyFill="1" applyBorder="1"/>
    <xf numFmtId="164" fontId="37" fillId="2" borderId="3" xfId="0" applyFont="1" applyFill="1" applyBorder="1" applyAlignment="1">
      <alignment horizontal="center"/>
    </xf>
    <xf numFmtId="170" fontId="16" fillId="2" borderId="0" xfId="0" applyNumberFormat="1" applyFont="1" applyFill="1" applyBorder="1"/>
    <xf numFmtId="164" fontId="37" fillId="2" borderId="5" xfId="0" applyFont="1" applyFill="1" applyBorder="1" applyAlignment="1">
      <alignment horizontal="center"/>
    </xf>
    <xf numFmtId="164" fontId="37" fillId="2" borderId="6" xfId="0" applyFont="1" applyFill="1" applyBorder="1" applyAlignment="1">
      <alignment horizontal="center"/>
    </xf>
    <xf numFmtId="170" fontId="37" fillId="2" borderId="6" xfId="0" applyNumberFormat="1" applyFont="1" applyFill="1" applyBorder="1"/>
    <xf numFmtId="180" fontId="37" fillId="2" borderId="6" xfId="0" applyNumberFormat="1" applyFont="1" applyFill="1" applyBorder="1"/>
    <xf numFmtId="164" fontId="37" fillId="2" borderId="7" xfId="0" applyFont="1" applyFill="1" applyBorder="1" applyAlignment="1">
      <alignment horizontal="center"/>
    </xf>
    <xf numFmtId="164" fontId="37" fillId="2" borderId="0" xfId="0" applyFont="1" applyFill="1" applyAlignment="1">
      <alignment horizontal="center"/>
    </xf>
    <xf numFmtId="170" fontId="37" fillId="2" borderId="0" xfId="0" applyNumberFormat="1" applyFont="1" applyFill="1"/>
    <xf numFmtId="180" fontId="37" fillId="2" borderId="0" xfId="0" applyNumberFormat="1" applyFont="1" applyFill="1"/>
    <xf numFmtId="164" fontId="16" fillId="2" borderId="0" xfId="0" applyFont="1" applyFill="1" applyAlignment="1">
      <alignment horizontal="centerContinuous"/>
    </xf>
    <xf numFmtId="164" fontId="37" fillId="2" borderId="0" xfId="0" applyFont="1" applyFill="1" applyAlignment="1">
      <alignment horizontal="centerContinuous"/>
    </xf>
    <xf numFmtId="170" fontId="37" fillId="2" borderId="0" xfId="0" applyNumberFormat="1" applyFont="1" applyFill="1" applyAlignment="1">
      <alignment horizontal="centerContinuous"/>
    </xf>
    <xf numFmtId="180" fontId="37" fillId="2" borderId="0" xfId="0" applyNumberFormat="1" applyFont="1" applyFill="1" applyAlignment="1">
      <alignment horizontal="centerContinuous"/>
    </xf>
    <xf numFmtId="164" fontId="7" fillId="2" borderId="0" xfId="0" applyFont="1" applyFill="1" applyAlignment="1">
      <alignment horizontal="centerContinuous"/>
    </xf>
    <xf numFmtId="164" fontId="6" fillId="2" borderId="0" xfId="0" applyFont="1" applyFill="1" applyAlignment="1">
      <alignment horizontal="centerContinuous"/>
    </xf>
    <xf numFmtId="164" fontId="37" fillId="2" borderId="0" xfId="0" applyFont="1" applyFill="1"/>
    <xf numFmtId="164" fontId="3" fillId="2" borderId="52" xfId="0" applyFont="1" applyFill="1" applyBorder="1" applyAlignment="1">
      <alignment horizontal="centerContinuous"/>
    </xf>
    <xf numFmtId="164" fontId="3" fillId="2" borderId="13" xfId="0" applyFont="1" applyFill="1" applyBorder="1" applyAlignment="1">
      <alignment horizontal="centerContinuous"/>
    </xf>
    <xf numFmtId="164" fontId="9" fillId="2" borderId="13" xfId="0" applyFont="1" applyFill="1" applyBorder="1" applyAlignment="1">
      <alignment horizontal="centerContinuous"/>
    </xf>
    <xf numFmtId="164" fontId="9" fillId="2" borderId="15" xfId="0" applyFont="1" applyFill="1" applyBorder="1" applyAlignment="1">
      <alignment horizontal="centerContinuous"/>
    </xf>
    <xf numFmtId="164" fontId="9" fillId="2" borderId="14" xfId="0" applyFont="1" applyFill="1" applyBorder="1" applyAlignment="1">
      <alignment horizontal="centerContinuous"/>
    </xf>
    <xf numFmtId="164" fontId="3" fillId="2" borderId="53" xfId="0" applyFont="1" applyFill="1" applyBorder="1" applyAlignment="1">
      <alignment horizontal="centerContinuous"/>
    </xf>
    <xf numFmtId="164" fontId="3" fillId="2" borderId="12" xfId="0" applyFont="1" applyFill="1" applyBorder="1" applyAlignment="1">
      <alignment horizontal="centerContinuous"/>
    </xf>
    <xf numFmtId="164" fontId="3" fillId="2" borderId="12" xfId="0" applyFont="1" applyFill="1" applyBorder="1"/>
    <xf numFmtId="164" fontId="3" fillId="2" borderId="18" xfId="0" applyFont="1" applyFill="1" applyBorder="1"/>
    <xf numFmtId="164" fontId="3" fillId="2" borderId="17" xfId="0" applyFont="1" applyFill="1" applyBorder="1"/>
    <xf numFmtId="179" fontId="37" fillId="2" borderId="11" xfId="0" applyNumberFormat="1" applyFont="1" applyFill="1" applyBorder="1" applyAlignment="1">
      <alignment horizontal="center"/>
    </xf>
    <xf numFmtId="178" fontId="37" fillId="2" borderId="52" xfId="0" applyNumberFormat="1" applyFont="1" applyFill="1" applyBorder="1" applyAlignment="1">
      <alignment horizontal="center"/>
    </xf>
    <xf numFmtId="1" fontId="37" fillId="2" borderId="52" xfId="0" applyNumberFormat="1" applyFont="1" applyFill="1" applyBorder="1" applyAlignment="1">
      <alignment horizontal="center"/>
    </xf>
    <xf numFmtId="49" fontId="37" fillId="2" borderId="11" xfId="0" quotePrefix="1" applyNumberFormat="1" applyFont="1" applyFill="1" applyBorder="1" applyAlignment="1">
      <alignment horizontal="center"/>
    </xf>
    <xf numFmtId="49" fontId="37" fillId="2" borderId="16" xfId="0" quotePrefix="1" applyNumberFormat="1" applyFont="1" applyFill="1" applyBorder="1" applyAlignment="1">
      <alignment horizontal="center"/>
    </xf>
    <xf numFmtId="1" fontId="37" fillId="2" borderId="54" xfId="0" applyNumberFormat="1" applyFont="1" applyFill="1" applyBorder="1" applyAlignment="1">
      <alignment horizontal="center"/>
    </xf>
    <xf numFmtId="49" fontId="37" fillId="2" borderId="13" xfId="0" applyNumberFormat="1" applyFont="1" applyFill="1" applyBorder="1" applyAlignment="1">
      <alignment horizontal="center"/>
    </xf>
    <xf numFmtId="49" fontId="37" fillId="2" borderId="15" xfId="0" applyNumberFormat="1" applyFont="1" applyFill="1" applyBorder="1" applyAlignment="1">
      <alignment horizontal="center"/>
    </xf>
    <xf numFmtId="178" fontId="37" fillId="2" borderId="54" xfId="0" applyNumberFormat="1" applyFont="1" applyFill="1" applyBorder="1" applyAlignment="1">
      <alignment horizontal="center"/>
    </xf>
    <xf numFmtId="49" fontId="37" fillId="2" borderId="11" xfId="0" applyNumberFormat="1" applyFont="1" applyFill="1" applyBorder="1" applyAlignment="1">
      <alignment horizontal="center"/>
    </xf>
    <xf numFmtId="49" fontId="37" fillId="2" borderId="16" xfId="0" applyNumberFormat="1" applyFont="1" applyFill="1" applyBorder="1" applyAlignment="1">
      <alignment horizontal="center"/>
    </xf>
    <xf numFmtId="179" fontId="37" fillId="2" borderId="12" xfId="0" applyNumberFormat="1" applyFont="1" applyFill="1" applyBorder="1" applyAlignment="1">
      <alignment horizontal="center"/>
    </xf>
    <xf numFmtId="178" fontId="37" fillId="2" borderId="53" xfId="0" applyNumberFormat="1" applyFont="1" applyFill="1" applyBorder="1" applyAlignment="1">
      <alignment horizontal="center"/>
    </xf>
    <xf numFmtId="1" fontId="37" fillId="2" borderId="53" xfId="0" applyNumberFormat="1" applyFont="1" applyFill="1" applyBorder="1" applyAlignment="1">
      <alignment horizontal="center"/>
    </xf>
    <xf numFmtId="49" fontId="37" fillId="2" borderId="12" xfId="0" quotePrefix="1" applyNumberFormat="1" applyFont="1" applyFill="1" applyBorder="1" applyAlignment="1">
      <alignment horizontal="center"/>
    </xf>
    <xf numFmtId="49" fontId="37" fillId="2" borderId="18" xfId="0" quotePrefix="1" applyNumberFormat="1" applyFont="1" applyFill="1" applyBorder="1" applyAlignment="1">
      <alignment horizontal="center"/>
    </xf>
    <xf numFmtId="49" fontId="37" fillId="2" borderId="12" xfId="0" applyNumberFormat="1" applyFont="1" applyFill="1" applyBorder="1" applyAlignment="1">
      <alignment horizontal="center"/>
    </xf>
    <xf numFmtId="49" fontId="37" fillId="2" borderId="18" xfId="0" applyNumberFormat="1" applyFont="1" applyFill="1" applyBorder="1" applyAlignment="1">
      <alignment horizontal="center"/>
    </xf>
    <xf numFmtId="1" fontId="37" fillId="2" borderId="0" xfId="0" applyNumberFormat="1" applyFont="1" applyFill="1"/>
    <xf numFmtId="164" fontId="39" fillId="4" borderId="8" xfId="0" applyFont="1" applyFill="1" applyBorder="1" applyAlignment="1" applyProtection="1">
      <alignment horizontal="centerContinuous"/>
      <protection locked="0"/>
    </xf>
    <xf numFmtId="164" fontId="40" fillId="4" borderId="9" xfId="0" applyFont="1" applyFill="1" applyBorder="1" applyAlignment="1" applyProtection="1">
      <alignment horizontal="centerContinuous"/>
      <protection locked="0"/>
    </xf>
    <xf numFmtId="164" fontId="40" fillId="4" borderId="10" xfId="0" applyFont="1" applyFill="1" applyBorder="1" applyAlignment="1" applyProtection="1">
      <alignment horizontal="centerContinuous"/>
      <protection locked="0"/>
    </xf>
    <xf numFmtId="164" fontId="41" fillId="0" borderId="0" xfId="0" applyFont="1" applyProtection="1"/>
    <xf numFmtId="164" fontId="41" fillId="0" borderId="0" xfId="0" applyFont="1"/>
    <xf numFmtId="164" fontId="41" fillId="0" borderId="0" xfId="0" applyFont="1" applyProtection="1">
      <protection locked="0"/>
    </xf>
    <xf numFmtId="164" fontId="44" fillId="0" borderId="0" xfId="0" quotePrefix="1" applyFont="1" applyProtection="1">
      <protection locked="0"/>
    </xf>
    <xf numFmtId="164" fontId="41" fillId="4" borderId="5" xfId="0" applyFont="1" applyFill="1" applyBorder="1" applyProtection="1">
      <protection locked="0"/>
    </xf>
    <xf numFmtId="164" fontId="41" fillId="4" borderId="6" xfId="0" applyFont="1" applyFill="1" applyBorder="1" applyProtection="1">
      <protection locked="0"/>
    </xf>
    <xf numFmtId="164" fontId="41" fillId="4" borderId="7" xfId="0" applyFont="1" applyFill="1" applyBorder="1" applyProtection="1">
      <protection locked="0"/>
    </xf>
    <xf numFmtId="164" fontId="46" fillId="0" borderId="0" xfId="0" applyFont="1" applyProtection="1"/>
    <xf numFmtId="164" fontId="41" fillId="2" borderId="0" xfId="0" applyFont="1" applyFill="1" applyProtection="1">
      <protection hidden="1"/>
    </xf>
    <xf numFmtId="164" fontId="41" fillId="2" borderId="56" xfId="0" applyFont="1" applyFill="1" applyBorder="1"/>
    <xf numFmtId="164" fontId="41" fillId="2" borderId="0" xfId="0" applyFont="1" applyFill="1"/>
    <xf numFmtId="164" fontId="41" fillId="2" borderId="0" xfId="0" applyFont="1" applyFill="1" applyProtection="1">
      <protection locked="0"/>
    </xf>
    <xf numFmtId="164" fontId="41" fillId="2" borderId="59" xfId="0" applyFont="1" applyFill="1" applyBorder="1" applyProtection="1">
      <protection locked="0" hidden="1"/>
    </xf>
    <xf numFmtId="164" fontId="47" fillId="2" borderId="0" xfId="0" applyFont="1" applyFill="1" applyAlignment="1" applyProtection="1">
      <alignment horizontal="center"/>
      <protection locked="0"/>
    </xf>
    <xf numFmtId="165" fontId="41" fillId="0" borderId="4" xfId="0" applyNumberFormat="1" applyFont="1" applyBorder="1" applyProtection="1"/>
    <xf numFmtId="164" fontId="41" fillId="0" borderId="0" xfId="0" applyFont="1" applyBorder="1" applyAlignment="1" applyProtection="1">
      <alignment horizontal="center" wrapText="1"/>
      <protection locked="0"/>
    </xf>
    <xf numFmtId="164" fontId="41" fillId="0" borderId="3" xfId="0" applyFont="1" applyBorder="1" applyAlignment="1" applyProtection="1">
      <alignment horizontal="center"/>
      <protection locked="0"/>
    </xf>
    <xf numFmtId="164" fontId="48" fillId="0" borderId="0" xfId="0" applyFont="1" applyAlignment="1" applyProtection="1">
      <alignment horizontal="left"/>
    </xf>
    <xf numFmtId="164" fontId="47" fillId="2" borderId="0" xfId="0" applyFont="1" applyFill="1" applyBorder="1" applyProtection="1"/>
    <xf numFmtId="164" fontId="47" fillId="2" borderId="0" xfId="0" applyFont="1" applyFill="1" applyBorder="1" applyAlignment="1" applyProtection="1">
      <alignment horizontal="right"/>
    </xf>
    <xf numFmtId="164" fontId="41" fillId="2" borderId="0" xfId="0" applyFont="1" applyFill="1" applyBorder="1" applyAlignment="1" applyProtection="1">
      <alignment horizontal="center"/>
      <protection hidden="1"/>
    </xf>
    <xf numFmtId="181" fontId="47" fillId="9" borderId="57" xfId="0" applyNumberFormat="1" applyFont="1" applyFill="1" applyBorder="1" applyAlignment="1" applyProtection="1">
      <alignment horizontal="center"/>
      <protection locked="0"/>
    </xf>
    <xf numFmtId="164" fontId="49" fillId="2" borderId="0" xfId="0" applyFont="1" applyFill="1" applyAlignment="1" applyProtection="1">
      <alignment horizontal="centerContinuous"/>
      <protection locked="0"/>
    </xf>
    <xf numFmtId="164" fontId="41" fillId="2" borderId="0" xfId="0" applyFont="1" applyFill="1" applyAlignment="1" applyProtection="1">
      <alignment horizontal="right"/>
      <protection hidden="1"/>
    </xf>
    <xf numFmtId="171" fontId="47" fillId="9" borderId="55" xfId="0" applyNumberFormat="1" applyFont="1" applyFill="1" applyBorder="1" applyAlignment="1" applyProtection="1">
      <alignment horizontal="center"/>
      <protection locked="0"/>
    </xf>
    <xf numFmtId="164" fontId="41" fillId="2" borderId="20" xfId="0" applyFont="1" applyFill="1" applyBorder="1" applyAlignment="1" applyProtection="1">
      <alignment horizontal="center"/>
      <protection hidden="1"/>
    </xf>
    <xf numFmtId="164" fontId="51" fillId="2" borderId="0" xfId="0" applyFont="1" applyFill="1" applyProtection="1">
      <protection hidden="1"/>
    </xf>
    <xf numFmtId="164" fontId="41" fillId="0" borderId="0" xfId="0" applyFont="1" applyBorder="1" applyProtection="1">
      <protection locked="0"/>
    </xf>
    <xf numFmtId="164" fontId="41" fillId="0" borderId="4" xfId="0" applyFont="1" applyBorder="1" applyProtection="1"/>
    <xf numFmtId="164" fontId="52" fillId="3" borderId="1" xfId="0" quotePrefix="1" applyFont="1" applyFill="1" applyBorder="1" applyAlignment="1" applyProtection="1">
      <alignment horizontal="center"/>
      <protection locked="0"/>
    </xf>
    <xf numFmtId="164" fontId="52" fillId="3" borderId="2" xfId="0" quotePrefix="1" applyFont="1" applyFill="1" applyBorder="1" applyAlignment="1" applyProtection="1">
      <alignment horizontal="center"/>
      <protection locked="0"/>
    </xf>
    <xf numFmtId="164" fontId="41" fillId="0" borderId="3" xfId="0" applyFont="1" applyBorder="1" applyProtection="1">
      <protection locked="0"/>
    </xf>
    <xf numFmtId="164" fontId="41" fillId="2" borderId="0" xfId="0" applyFont="1" applyFill="1" applyBorder="1" applyProtection="1"/>
    <xf numFmtId="164" fontId="41" fillId="2" borderId="0" xfId="0" applyFont="1" applyFill="1" applyAlignment="1">
      <alignment horizontal="centerContinuous"/>
    </xf>
    <xf numFmtId="171" fontId="47" fillId="9" borderId="58" xfId="0" applyNumberFormat="1" applyFont="1" applyFill="1" applyBorder="1" applyAlignment="1" applyProtection="1">
      <alignment horizontal="center"/>
      <protection locked="0"/>
    </xf>
    <xf numFmtId="164" fontId="53" fillId="2" borderId="0" xfId="0" applyFont="1" applyFill="1" applyAlignment="1" applyProtection="1">
      <alignment horizontal="center"/>
      <protection hidden="1"/>
    </xf>
    <xf numFmtId="164" fontId="41" fillId="0" borderId="4" xfId="0" applyFont="1" applyBorder="1" applyAlignment="1" applyProtection="1">
      <alignment horizontal="center"/>
    </xf>
    <xf numFmtId="168" fontId="54" fillId="0" borderId="0" xfId="0" applyNumberFormat="1" applyFont="1" applyBorder="1" applyProtection="1"/>
    <xf numFmtId="169" fontId="52" fillId="3" borderId="1" xfId="0" applyNumberFormat="1" applyFont="1" applyFill="1" applyBorder="1" applyProtection="1">
      <protection locked="0"/>
    </xf>
    <xf numFmtId="164" fontId="41" fillId="2" borderId="40" xfId="0" applyFont="1" applyFill="1" applyBorder="1" applyProtection="1"/>
    <xf numFmtId="164" fontId="41" fillId="0" borderId="40" xfId="0" applyFont="1" applyBorder="1" applyProtection="1"/>
    <xf numFmtId="177" fontId="47" fillId="9" borderId="58" xfId="0" applyNumberFormat="1" applyFont="1" applyFill="1" applyBorder="1" applyAlignment="1" applyProtection="1">
      <alignment horizontal="center"/>
      <protection locked="0"/>
    </xf>
    <xf numFmtId="164" fontId="55" fillId="2" borderId="0" xfId="0" applyFont="1" applyFill="1" applyAlignment="1" applyProtection="1">
      <alignment horizontal="left"/>
      <protection hidden="1"/>
    </xf>
    <xf numFmtId="164" fontId="56" fillId="2" borderId="0" xfId="0" applyFont="1" applyFill="1" applyAlignment="1" applyProtection="1">
      <alignment horizontal="centerContinuous"/>
      <protection locked="0"/>
    </xf>
    <xf numFmtId="164" fontId="56" fillId="2" borderId="0" xfId="0" applyFont="1" applyFill="1"/>
    <xf numFmtId="164" fontId="56" fillId="2" borderId="0" xfId="0" applyFont="1" applyFill="1" applyProtection="1">
      <protection locked="0" hidden="1"/>
    </xf>
    <xf numFmtId="164" fontId="53" fillId="2" borderId="0" xfId="0" applyFont="1" applyFill="1" applyAlignment="1" applyProtection="1">
      <alignment horizontal="center"/>
      <protection locked="0"/>
    </xf>
    <xf numFmtId="164" fontId="43" fillId="0" borderId="0" xfId="0" applyFont="1" applyAlignment="1">
      <alignment horizontal="centerContinuous"/>
    </xf>
    <xf numFmtId="164" fontId="43" fillId="0" borderId="0" xfId="0" applyFont="1" applyAlignment="1" applyProtection="1">
      <alignment horizontal="centerContinuous"/>
      <protection locked="0"/>
    </xf>
    <xf numFmtId="164" fontId="43" fillId="0" borderId="0" xfId="0" applyFont="1" applyBorder="1" applyAlignment="1" applyProtection="1">
      <alignment horizontal="centerContinuous"/>
      <protection locked="0"/>
    </xf>
    <xf numFmtId="168" fontId="41" fillId="0" borderId="3" xfId="0" applyNumberFormat="1" applyFont="1" applyBorder="1" applyProtection="1">
      <protection locked="0"/>
    </xf>
    <xf numFmtId="164" fontId="50" fillId="2" borderId="0" xfId="0" applyFont="1" applyFill="1" applyBorder="1" applyAlignment="1" applyProtection="1">
      <alignment horizontal="center"/>
      <protection hidden="1"/>
    </xf>
    <xf numFmtId="164" fontId="49" fillId="2" borderId="0" xfId="0" applyFont="1" applyFill="1" applyProtection="1">
      <protection hidden="1"/>
    </xf>
    <xf numFmtId="164" fontId="49" fillId="2" borderId="0" xfId="0" applyFont="1" applyFill="1" applyProtection="1">
      <protection locked="0" hidden="1"/>
    </xf>
    <xf numFmtId="164" fontId="41" fillId="2" borderId="0" xfId="0" applyFont="1" applyFill="1" applyProtection="1">
      <protection locked="0" hidden="1"/>
    </xf>
    <xf numFmtId="43" fontId="41" fillId="0" borderId="3" xfId="1" applyFont="1" applyBorder="1" applyProtection="1">
      <protection locked="0"/>
    </xf>
    <xf numFmtId="164" fontId="53" fillId="2" borderId="0" xfId="0" quotePrefix="1" applyFont="1" applyFill="1" applyAlignment="1" applyProtection="1">
      <alignment horizontal="center"/>
      <protection hidden="1"/>
    </xf>
    <xf numFmtId="164" fontId="57" fillId="0" borderId="13" xfId="0" applyFont="1" applyBorder="1" applyAlignment="1">
      <alignment horizontal="center"/>
    </xf>
    <xf numFmtId="164" fontId="57" fillId="0" borderId="14" xfId="0" applyFont="1" applyBorder="1" applyAlignment="1" applyProtection="1">
      <alignment horizontal="center"/>
      <protection locked="0"/>
    </xf>
    <xf numFmtId="164" fontId="57" fillId="0" borderId="15" xfId="0" applyFont="1" applyBorder="1" applyAlignment="1" applyProtection="1">
      <alignment horizontal="center"/>
      <protection locked="0"/>
    </xf>
    <xf numFmtId="164" fontId="51" fillId="0" borderId="4" xfId="0" applyFont="1" applyBorder="1" applyAlignment="1" applyProtection="1">
      <alignment horizontal="centerContinuous"/>
    </xf>
    <xf numFmtId="164" fontId="41" fillId="0" borderId="0" xfId="0" applyFont="1" applyBorder="1" applyAlignment="1" applyProtection="1">
      <alignment horizontal="centerContinuous"/>
    </xf>
    <xf numFmtId="164" fontId="52" fillId="0" borderId="0" xfId="0" applyFont="1" applyBorder="1" applyAlignment="1" applyProtection="1">
      <alignment horizontal="centerContinuous"/>
    </xf>
    <xf numFmtId="164" fontId="41" fillId="0" borderId="3" xfId="0" applyFont="1" applyBorder="1" applyAlignment="1" applyProtection="1">
      <alignment horizontal="centerContinuous"/>
      <protection locked="0"/>
    </xf>
    <xf numFmtId="164" fontId="41" fillId="2" borderId="0" xfId="0" applyFont="1" applyFill="1" applyAlignment="1">
      <alignment horizontal="center"/>
    </xf>
    <xf numFmtId="164" fontId="41" fillId="2" borderId="0" xfId="0" applyFont="1" applyFill="1" applyAlignment="1" applyProtection="1">
      <alignment horizontal="center"/>
      <protection hidden="1"/>
    </xf>
    <xf numFmtId="164" fontId="57" fillId="2" borderId="0" xfId="0" applyFont="1" applyFill="1" applyAlignment="1" applyProtection="1">
      <alignment horizontal="center"/>
      <protection locked="0" hidden="1"/>
    </xf>
    <xf numFmtId="164" fontId="53" fillId="2" borderId="0" xfId="0" applyFont="1" applyFill="1" applyAlignment="1" applyProtection="1">
      <alignment horizontal="center"/>
      <protection locked="0" hidden="1"/>
    </xf>
    <xf numFmtId="164" fontId="41" fillId="0" borderId="11" xfId="0" applyFont="1" applyBorder="1" applyAlignment="1" applyProtection="1">
      <alignment horizontal="center"/>
      <protection locked="0"/>
    </xf>
    <xf numFmtId="164" fontId="41" fillId="0" borderId="0" xfId="0" applyFont="1" applyBorder="1" applyAlignment="1" applyProtection="1">
      <alignment horizontal="center"/>
      <protection locked="0"/>
    </xf>
    <xf numFmtId="164" fontId="41" fillId="0" borderId="16" xfId="0" applyFont="1" applyBorder="1" applyAlignment="1" applyProtection="1">
      <alignment horizontal="center"/>
      <protection locked="0"/>
    </xf>
    <xf numFmtId="166" fontId="41" fillId="0" borderId="4" xfId="0" applyNumberFormat="1" applyFont="1" applyBorder="1" applyAlignment="1" applyProtection="1">
      <alignment horizontal="center"/>
    </xf>
    <xf numFmtId="176" fontId="52" fillId="0" borderId="0" xfId="0" applyNumberFormat="1" applyFont="1" applyBorder="1" applyProtection="1">
      <protection locked="0"/>
    </xf>
    <xf numFmtId="168" fontId="52" fillId="0" borderId="0" xfId="0" applyNumberFormat="1" applyFont="1" applyBorder="1" applyProtection="1">
      <protection locked="0"/>
    </xf>
    <xf numFmtId="168" fontId="44" fillId="2" borderId="0" xfId="0" applyNumberFormat="1" applyFont="1" applyFill="1" applyBorder="1" applyAlignment="1" applyProtection="1">
      <alignment horizontal="center"/>
      <protection hidden="1"/>
    </xf>
    <xf numFmtId="170" fontId="41" fillId="2" borderId="0" xfId="0" applyNumberFormat="1" applyFont="1" applyFill="1" applyBorder="1" applyProtection="1">
      <protection hidden="1"/>
    </xf>
    <xf numFmtId="49" fontId="47" fillId="9" borderId="55" xfId="0" applyNumberFormat="1" applyFont="1" applyFill="1" applyBorder="1" applyAlignment="1" applyProtection="1">
      <alignment horizontal="center"/>
      <protection locked="0"/>
    </xf>
    <xf numFmtId="164" fontId="47" fillId="2" borderId="20" xfId="0" applyFont="1" applyFill="1" applyBorder="1" applyAlignment="1" applyProtection="1">
      <alignment horizontal="center"/>
      <protection hidden="1"/>
    </xf>
    <xf numFmtId="164" fontId="41" fillId="2" borderId="0" xfId="0" applyFont="1" applyFill="1" applyAlignment="1" applyProtection="1">
      <alignment horizontal="left"/>
      <protection hidden="1"/>
    </xf>
    <xf numFmtId="164" fontId="41" fillId="0" borderId="0" xfId="0" applyFont="1" applyProtection="1">
      <protection hidden="1"/>
    </xf>
    <xf numFmtId="164" fontId="57" fillId="0" borderId="4" xfId="0" applyFont="1" applyBorder="1" applyAlignment="1" applyProtection="1">
      <alignment horizontal="center"/>
    </xf>
    <xf numFmtId="164" fontId="57" fillId="0" borderId="0" xfId="0" applyFont="1" applyBorder="1" applyAlignment="1" applyProtection="1">
      <alignment horizontal="right"/>
    </xf>
    <xf numFmtId="164" fontId="57" fillId="0" borderId="3" xfId="0" applyFont="1" applyBorder="1" applyAlignment="1" applyProtection="1">
      <alignment horizontal="right"/>
    </xf>
    <xf numFmtId="164" fontId="41" fillId="2" borderId="0" xfId="0" applyFont="1" applyFill="1" applyAlignment="1" applyProtection="1">
      <alignment horizontal="centerContinuous"/>
      <protection hidden="1"/>
    </xf>
    <xf numFmtId="172" fontId="58" fillId="2" borderId="53" xfId="0" applyNumberFormat="1" applyFont="1" applyFill="1" applyBorder="1" applyAlignment="1" applyProtection="1">
      <alignment horizontal="center"/>
      <protection hidden="1"/>
    </xf>
    <xf numFmtId="172" fontId="58" fillId="2" borderId="40" xfId="0" applyNumberFormat="1" applyFont="1" applyFill="1" applyBorder="1" applyAlignment="1" applyProtection="1">
      <alignment horizontal="center"/>
      <protection hidden="1"/>
    </xf>
    <xf numFmtId="164" fontId="44" fillId="2" borderId="0" xfId="0" applyFont="1" applyFill="1" applyProtection="1">
      <protection locked="0" hidden="1"/>
    </xf>
    <xf numFmtId="164" fontId="52" fillId="0" borderId="0" xfId="0" applyFont="1" applyBorder="1" applyAlignment="1" applyProtection="1">
      <alignment horizontal="right"/>
    </xf>
    <xf numFmtId="164" fontId="41" fillId="0" borderId="3" xfId="0" applyFont="1" applyBorder="1" applyProtection="1"/>
    <xf numFmtId="173" fontId="54" fillId="2" borderId="40" xfId="0" applyNumberFormat="1" applyFont="1" applyFill="1" applyBorder="1" applyAlignment="1" applyProtection="1">
      <alignment horizontal="right"/>
      <protection hidden="1"/>
    </xf>
    <xf numFmtId="173" fontId="41" fillId="2" borderId="40" xfId="0" applyNumberFormat="1" applyFont="1" applyFill="1" applyBorder="1" applyAlignment="1" applyProtection="1">
      <alignment horizontal="right"/>
      <protection hidden="1"/>
    </xf>
    <xf numFmtId="173" fontId="41" fillId="2" borderId="40" xfId="0" applyNumberFormat="1" applyFont="1" applyFill="1" applyBorder="1" applyProtection="1">
      <protection hidden="1"/>
    </xf>
    <xf numFmtId="164" fontId="41" fillId="2" borderId="40" xfId="0" applyFont="1" applyFill="1" applyBorder="1" applyAlignment="1" applyProtection="1">
      <alignment horizontal="center"/>
      <protection hidden="1"/>
    </xf>
    <xf numFmtId="164" fontId="59" fillId="2" borderId="0" xfId="0" applyFont="1" applyFill="1" applyAlignment="1" applyProtection="1">
      <alignment horizontal="centerContinuous"/>
      <protection hidden="1"/>
    </xf>
    <xf numFmtId="165" fontId="52" fillId="3" borderId="1" xfId="0" applyNumberFormat="1" applyFont="1" applyFill="1" applyBorder="1" applyProtection="1">
      <protection locked="0"/>
    </xf>
    <xf numFmtId="164" fontId="41" fillId="0" borderId="0" xfId="0" applyFont="1" applyBorder="1" applyProtection="1"/>
    <xf numFmtId="167" fontId="41" fillId="0" borderId="0" xfId="0" applyNumberFormat="1" applyFont="1" applyProtection="1"/>
    <xf numFmtId="164" fontId="41" fillId="0" borderId="12" xfId="0" applyFont="1" applyBorder="1" applyAlignment="1" applyProtection="1">
      <alignment horizontal="center"/>
      <protection locked="0"/>
    </xf>
    <xf numFmtId="164" fontId="41" fillId="0" borderId="17" xfId="0" applyFont="1" applyBorder="1" applyAlignment="1" applyProtection="1">
      <alignment horizontal="center"/>
      <protection locked="0"/>
    </xf>
    <xf numFmtId="164" fontId="41" fillId="0" borderId="18" xfId="0" applyFont="1" applyBorder="1" applyAlignment="1" applyProtection="1">
      <alignment horizontal="center"/>
      <protection locked="0"/>
    </xf>
    <xf numFmtId="165" fontId="41" fillId="0" borderId="4" xfId="0" applyNumberFormat="1" applyFont="1" applyBorder="1" applyProtection="1">
      <protection locked="0"/>
    </xf>
    <xf numFmtId="164" fontId="60" fillId="2" borderId="0" xfId="0" applyFont="1" applyFill="1" applyAlignment="1" applyProtection="1">
      <alignment horizontal="centerContinuous"/>
      <protection hidden="1"/>
    </xf>
    <xf numFmtId="164" fontId="61" fillId="2" borderId="0" xfId="0" applyFont="1" applyFill="1" applyAlignment="1" applyProtection="1">
      <alignment horizontal="centerContinuous"/>
      <protection hidden="1"/>
    </xf>
    <xf numFmtId="164" fontId="61" fillId="2" borderId="0" xfId="0" applyFont="1" applyFill="1" applyAlignment="1" applyProtection="1">
      <alignment horizontal="centerContinuous"/>
      <protection locked="0" hidden="1"/>
    </xf>
    <xf numFmtId="164" fontId="41" fillId="2" borderId="0" xfId="0" applyFont="1" applyFill="1" applyAlignment="1" applyProtection="1">
      <alignment horizontal="centerContinuous"/>
      <protection locked="0" hidden="1"/>
    </xf>
    <xf numFmtId="172" fontId="54" fillId="2" borderId="0" xfId="0" applyNumberFormat="1" applyFont="1" applyFill="1" applyBorder="1" applyAlignment="1" applyProtection="1">
      <alignment horizontal="center"/>
      <protection hidden="1"/>
    </xf>
    <xf numFmtId="164" fontId="41" fillId="2" borderId="0" xfId="0" applyFont="1" applyFill="1" applyBorder="1" applyProtection="1">
      <protection locked="0" hidden="1"/>
    </xf>
    <xf numFmtId="164" fontId="58" fillId="5" borderId="36" xfId="0" applyFont="1" applyFill="1" applyBorder="1" applyAlignment="1" applyProtection="1">
      <alignment horizontal="centerContinuous"/>
      <protection locked="0"/>
    </xf>
    <xf numFmtId="164" fontId="52" fillId="5" borderId="19" xfId="0" applyFont="1" applyFill="1" applyBorder="1" applyAlignment="1" applyProtection="1">
      <alignment horizontal="centerContinuous"/>
      <protection locked="0"/>
    </xf>
    <xf numFmtId="164" fontId="52" fillId="5" borderId="20" xfId="0" applyFont="1" applyFill="1" applyBorder="1" applyAlignment="1" applyProtection="1">
      <alignment horizontal="centerContinuous"/>
      <protection locked="0"/>
    </xf>
    <xf numFmtId="174" fontId="41" fillId="2" borderId="0" xfId="0" applyNumberFormat="1" applyFont="1" applyFill="1" applyProtection="1">
      <protection hidden="1"/>
    </xf>
    <xf numFmtId="164" fontId="41" fillId="2" borderId="0" xfId="0" applyFont="1" applyFill="1" applyBorder="1" applyProtection="1">
      <protection locked="0"/>
    </xf>
    <xf numFmtId="164" fontId="58" fillId="2" borderId="11" xfId="0" applyFont="1" applyFill="1" applyBorder="1" applyAlignment="1" applyProtection="1">
      <alignment horizontal="centerContinuous"/>
      <protection locked="0"/>
    </xf>
    <xf numFmtId="164" fontId="52" fillId="2" borderId="0" xfId="0" applyFont="1" applyFill="1" applyBorder="1" applyAlignment="1" applyProtection="1">
      <alignment horizontal="centerContinuous"/>
      <protection locked="0"/>
    </xf>
    <xf numFmtId="164" fontId="52" fillId="2" borderId="16" xfId="0" applyFont="1" applyFill="1" applyBorder="1" applyAlignment="1" applyProtection="1">
      <alignment horizontal="centerContinuous"/>
      <protection locked="0"/>
    </xf>
    <xf numFmtId="173" fontId="47" fillId="2" borderId="40" xfId="0" applyNumberFormat="1" applyFont="1" applyFill="1" applyBorder="1" applyAlignment="1" applyProtection="1">
      <alignment horizontal="right"/>
      <protection hidden="1"/>
    </xf>
    <xf numFmtId="164" fontId="58" fillId="2" borderId="12" xfId="0" applyFont="1" applyFill="1" applyBorder="1" applyAlignment="1" applyProtection="1">
      <alignment horizontal="centerContinuous"/>
      <protection locked="0"/>
    </xf>
    <xf numFmtId="164" fontId="52" fillId="2" borderId="17" xfId="0" applyFont="1" applyFill="1" applyBorder="1" applyAlignment="1" applyProtection="1">
      <alignment horizontal="centerContinuous"/>
      <protection locked="0"/>
    </xf>
    <xf numFmtId="164" fontId="52" fillId="2" borderId="18" xfId="0" applyFont="1" applyFill="1" applyBorder="1" applyAlignment="1" applyProtection="1">
      <alignment horizontal="centerContinuous"/>
      <protection locked="0"/>
    </xf>
    <xf numFmtId="164" fontId="47" fillId="0" borderId="0" xfId="0" applyFont="1" applyProtection="1">
      <protection hidden="1"/>
    </xf>
    <xf numFmtId="164" fontId="62" fillId="2" borderId="0" xfId="0" applyFont="1" applyFill="1" applyAlignment="1" applyProtection="1">
      <alignment horizontal="centerContinuous"/>
      <protection hidden="1"/>
    </xf>
    <xf numFmtId="164" fontId="63" fillId="2" borderId="0" xfId="0" applyFont="1" applyFill="1" applyAlignment="1" applyProtection="1">
      <alignment horizontal="centerContinuous"/>
      <protection hidden="1"/>
    </xf>
    <xf numFmtId="164" fontId="41" fillId="2" borderId="0" xfId="0" applyFont="1" applyFill="1" applyAlignment="1" applyProtection="1">
      <alignment horizontal="centerContinuous"/>
      <protection locked="0"/>
    </xf>
    <xf numFmtId="164" fontId="53" fillId="2" borderId="12" xfId="0" applyFont="1" applyFill="1" applyBorder="1" applyAlignment="1" applyProtection="1">
      <alignment horizontal="centerContinuous"/>
      <protection locked="0"/>
    </xf>
    <xf numFmtId="164" fontId="47" fillId="0" borderId="0" xfId="0" applyFont="1" applyProtection="1">
      <protection locked="0"/>
    </xf>
    <xf numFmtId="164" fontId="64" fillId="2" borderId="0" xfId="0" applyFont="1" applyFill="1" applyAlignment="1" applyProtection="1">
      <alignment horizontal="centerContinuous"/>
      <protection hidden="1"/>
    </xf>
    <xf numFmtId="164" fontId="65" fillId="2" borderId="0" xfId="0" applyFont="1" applyFill="1" applyAlignment="1" applyProtection="1">
      <alignment horizontal="centerContinuous"/>
      <protection hidden="1"/>
    </xf>
    <xf numFmtId="164" fontId="65" fillId="2" borderId="0" xfId="0" applyFont="1" applyFill="1" applyAlignment="1">
      <alignment horizontal="centerContinuous"/>
    </xf>
    <xf numFmtId="164" fontId="65" fillId="2" borderId="0" xfId="0" applyFont="1" applyFill="1" applyAlignment="1" applyProtection="1">
      <alignment horizontal="centerContinuous"/>
      <protection locked="0"/>
    </xf>
    <xf numFmtId="165" fontId="41" fillId="0" borderId="4" xfId="0" applyNumberFormat="1" applyFont="1" applyBorder="1" applyProtection="1">
      <protection hidden="1"/>
    </xf>
    <xf numFmtId="164" fontId="41" fillId="0" borderId="0" xfId="0" applyFont="1" applyBorder="1" applyProtection="1">
      <protection hidden="1"/>
    </xf>
    <xf numFmtId="164" fontId="41" fillId="0" borderId="3" xfId="0" applyFont="1" applyBorder="1" applyProtection="1">
      <protection hidden="1"/>
    </xf>
    <xf numFmtId="167" fontId="41" fillId="0" borderId="0" xfId="0" applyNumberFormat="1" applyFont="1" applyProtection="1">
      <protection hidden="1"/>
    </xf>
    <xf numFmtId="164" fontId="41" fillId="2" borderId="0" xfId="0" applyFont="1" applyFill="1" applyBorder="1" applyProtection="1">
      <protection hidden="1"/>
    </xf>
    <xf numFmtId="164" fontId="47" fillId="2" borderId="0" xfId="0" applyFont="1" applyFill="1" applyBorder="1" applyProtection="1">
      <protection hidden="1"/>
    </xf>
    <xf numFmtId="164" fontId="47" fillId="2" borderId="0" xfId="0" applyFont="1" applyFill="1" applyBorder="1" applyAlignment="1" applyProtection="1">
      <alignment horizontal="right"/>
      <protection hidden="1"/>
    </xf>
    <xf numFmtId="164" fontId="41" fillId="0" borderId="0" xfId="0" applyFont="1" applyAlignment="1" applyProtection="1">
      <alignment horizontal="center"/>
      <protection hidden="1"/>
    </xf>
    <xf numFmtId="164" fontId="41" fillId="0" borderId="0" xfId="0" applyFont="1" applyProtection="1">
      <protection locked="0" hidden="1"/>
    </xf>
    <xf numFmtId="164" fontId="47" fillId="0" borderId="0" xfId="0" applyFont="1" applyAlignment="1" applyProtection="1">
      <alignment horizontal="right"/>
      <protection hidden="1"/>
    </xf>
    <xf numFmtId="164" fontId="41" fillId="0" borderId="17" xfId="0" applyFont="1" applyBorder="1" applyProtection="1">
      <protection locked="0" hidden="1"/>
    </xf>
    <xf numFmtId="164" fontId="41" fillId="0" borderId="17" xfId="0" applyFont="1" applyBorder="1" applyProtection="1">
      <protection locked="0"/>
    </xf>
    <xf numFmtId="166" fontId="41" fillId="0" borderId="0" xfId="0" applyNumberFormat="1" applyFont="1" applyAlignment="1" applyProtection="1">
      <alignment horizontal="left"/>
      <protection hidden="1"/>
    </xf>
    <xf numFmtId="164" fontId="41" fillId="0" borderId="0" xfId="0" applyFont="1" applyAlignment="1" applyProtection="1">
      <alignment horizontal="centerContinuous"/>
      <protection hidden="1"/>
    </xf>
    <xf numFmtId="164" fontId="41" fillId="0" borderId="40" xfId="0" applyFont="1" applyBorder="1" applyProtection="1">
      <protection locked="0"/>
    </xf>
    <xf numFmtId="43" fontId="41" fillId="0" borderId="40" xfId="1" applyFont="1" applyBorder="1" applyProtection="1">
      <protection locked="0"/>
    </xf>
    <xf numFmtId="164" fontId="42" fillId="10" borderId="37" xfId="0" applyFont="1" applyFill="1" applyBorder="1" applyAlignment="1" applyProtection="1">
      <alignment horizontal="centerContinuous"/>
      <protection hidden="1"/>
    </xf>
    <xf numFmtId="164" fontId="43" fillId="10" borderId="38" xfId="0" applyFont="1" applyFill="1" applyBorder="1" applyAlignment="1">
      <alignment horizontal="centerContinuous"/>
    </xf>
    <xf numFmtId="164" fontId="43" fillId="10" borderId="38" xfId="0" applyFont="1" applyFill="1" applyBorder="1" applyAlignment="1" applyProtection="1">
      <alignment horizontal="centerContinuous"/>
      <protection hidden="1"/>
    </xf>
    <xf numFmtId="164" fontId="41" fillId="10" borderId="38" xfId="0" applyFont="1" applyFill="1" applyBorder="1" applyAlignment="1" applyProtection="1">
      <alignment horizontal="centerContinuous"/>
      <protection locked="0"/>
    </xf>
    <xf numFmtId="164" fontId="41" fillId="10" borderId="38" xfId="0" applyFont="1" applyFill="1" applyBorder="1" applyAlignment="1" applyProtection="1">
      <alignment horizontal="centerContinuous"/>
      <protection locked="0" hidden="1"/>
    </xf>
    <xf numFmtId="164" fontId="41" fillId="10" borderId="39" xfId="0" applyFont="1" applyFill="1" applyBorder="1" applyAlignment="1" applyProtection="1">
      <alignment horizontal="centerContinuous"/>
      <protection locked="0"/>
    </xf>
    <xf numFmtId="164" fontId="45" fillId="10" borderId="36" xfId="0" applyFont="1" applyFill="1" applyBorder="1" applyAlignment="1" applyProtection="1">
      <alignment horizontal="centerContinuous"/>
      <protection hidden="1"/>
    </xf>
    <xf numFmtId="164" fontId="45" fillId="10" borderId="19" xfId="0" applyFont="1" applyFill="1" applyBorder="1" applyAlignment="1" applyProtection="1">
      <alignment horizontal="centerContinuous"/>
      <protection hidden="1"/>
    </xf>
    <xf numFmtId="164" fontId="45" fillId="10" borderId="20" xfId="0" applyFont="1" applyFill="1" applyBorder="1" applyAlignment="1" applyProtection="1">
      <alignment horizontal="centerContinuous"/>
      <protection hidden="1"/>
    </xf>
    <xf numFmtId="164" fontId="41" fillId="11" borderId="11" xfId="0" applyFont="1" applyFill="1" applyBorder="1" applyProtection="1">
      <protection hidden="1"/>
    </xf>
    <xf numFmtId="164" fontId="41" fillId="11" borderId="0" xfId="0" applyFont="1" applyFill="1" applyBorder="1" applyProtection="1">
      <protection hidden="1"/>
    </xf>
    <xf numFmtId="164" fontId="41" fillId="11" borderId="16" xfId="0" applyFont="1" applyFill="1" applyBorder="1" applyProtection="1">
      <protection hidden="1"/>
    </xf>
    <xf numFmtId="164" fontId="43" fillId="11" borderId="11" xfId="0" applyFont="1" applyFill="1" applyBorder="1" applyAlignment="1" applyProtection="1">
      <alignment horizontal="centerContinuous"/>
      <protection hidden="1"/>
    </xf>
    <xf numFmtId="164" fontId="43" fillId="11" borderId="0" xfId="0" applyFont="1" applyFill="1" applyBorder="1" applyAlignment="1" applyProtection="1">
      <alignment horizontal="centerContinuous"/>
      <protection hidden="1"/>
    </xf>
    <xf numFmtId="164" fontId="43" fillId="11" borderId="0" xfId="0" applyFont="1" applyFill="1" applyBorder="1" applyAlignment="1" applyProtection="1">
      <alignment horizontal="center"/>
      <protection hidden="1"/>
    </xf>
    <xf numFmtId="164" fontId="43" fillId="11" borderId="16" xfId="0" applyFont="1" applyFill="1" applyBorder="1" applyAlignment="1" applyProtection="1">
      <alignment horizontal="center"/>
      <protection hidden="1"/>
    </xf>
    <xf numFmtId="164" fontId="47" fillId="11" borderId="11" xfId="0" applyFont="1" applyFill="1" applyBorder="1" applyAlignment="1" applyProtection="1">
      <alignment horizontal="centerContinuous"/>
      <protection hidden="1"/>
    </xf>
    <xf numFmtId="164" fontId="47" fillId="11" borderId="0" xfId="0" applyFont="1" applyFill="1" applyBorder="1" applyAlignment="1" applyProtection="1">
      <alignment horizontal="centerContinuous"/>
      <protection hidden="1"/>
    </xf>
    <xf numFmtId="164" fontId="47" fillId="11" borderId="0" xfId="0" applyFont="1" applyFill="1" applyBorder="1" applyAlignment="1" applyProtection="1">
      <alignment horizontal="center"/>
      <protection hidden="1"/>
    </xf>
    <xf numFmtId="164" fontId="47" fillId="11" borderId="16" xfId="0" applyFont="1" applyFill="1" applyBorder="1" applyAlignment="1" applyProtection="1">
      <alignment horizontal="center"/>
      <protection hidden="1"/>
    </xf>
    <xf numFmtId="175" fontId="47" fillId="11" borderId="40" xfId="0" applyNumberFormat="1" applyFont="1" applyFill="1" applyBorder="1" applyAlignment="1" applyProtection="1">
      <alignment horizontal="center"/>
      <protection locked="0"/>
    </xf>
    <xf numFmtId="164" fontId="47" fillId="11" borderId="12" xfId="0" applyFont="1" applyFill="1" applyBorder="1" applyProtection="1">
      <protection hidden="1"/>
    </xf>
    <xf numFmtId="164" fontId="47" fillId="11" borderId="17" xfId="0" applyFont="1" applyFill="1" applyBorder="1" applyProtection="1">
      <protection hidden="1"/>
    </xf>
    <xf numFmtId="164" fontId="47" fillId="11" borderId="18" xfId="0" applyFont="1" applyFill="1" applyBorder="1" applyProtection="1"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CFC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6</xdr:row>
      <xdr:rowOff>190500</xdr:rowOff>
    </xdr:from>
    <xdr:to>
      <xdr:col>12</xdr:col>
      <xdr:colOff>19050</xdr:colOff>
      <xdr:row>8</xdr:row>
      <xdr:rowOff>276225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>
          <a:spLocks noChangeArrowheads="1"/>
        </xdr:cNvSpPr>
      </xdr:nvSpPr>
      <xdr:spPr bwMode="auto">
        <a:xfrm>
          <a:off x="3619500" y="1666875"/>
          <a:ext cx="4476750" cy="495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82550</xdr:colOff>
          <xdr:row>9</xdr:row>
          <xdr:rowOff>63500</xdr:rowOff>
        </xdr:from>
        <xdr:to>
          <xdr:col>6</xdr:col>
          <xdr:colOff>469900</xdr:colOff>
          <xdr:row>10</xdr:row>
          <xdr:rowOff>69850</xdr:rowOff>
        </xdr:to>
        <xdr:sp macro="" textlink="">
          <xdr:nvSpPr>
            <xdr:cNvPr id="2058" name="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Helv"/>
                </a:rPr>
                <a:t>COPY DATA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82550</xdr:colOff>
          <xdr:row>9</xdr:row>
          <xdr:rowOff>63500</xdr:rowOff>
        </xdr:from>
        <xdr:to>
          <xdr:col>3</xdr:col>
          <xdr:colOff>469900</xdr:colOff>
          <xdr:row>10</xdr:row>
          <xdr:rowOff>69850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Helv"/>
                </a:rPr>
                <a:t>COPY DATA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82550</xdr:colOff>
          <xdr:row>9</xdr:row>
          <xdr:rowOff>63500</xdr:rowOff>
        </xdr:from>
        <xdr:to>
          <xdr:col>9</xdr:col>
          <xdr:colOff>469900</xdr:colOff>
          <xdr:row>10</xdr:row>
          <xdr:rowOff>69850</xdr:rowOff>
        </xdr:to>
        <xdr:sp macro="" textlink="">
          <xdr:nvSpPr>
            <xdr:cNvPr id="2059" name="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Helv"/>
                </a:rPr>
                <a:t>COPY DATA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82550</xdr:colOff>
          <xdr:row>9</xdr:row>
          <xdr:rowOff>63500</xdr:rowOff>
        </xdr:from>
        <xdr:to>
          <xdr:col>12</xdr:col>
          <xdr:colOff>469900</xdr:colOff>
          <xdr:row>10</xdr:row>
          <xdr:rowOff>69850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36576" rIns="45720" bIns="36576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Helv"/>
                </a:rPr>
                <a:t>COPY DATA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A1" transitionEvaluation="1" codeName="Feuil1">
    <pageSetUpPr fitToPage="1"/>
  </sheetPr>
  <dimension ref="A1:CF203"/>
  <sheetViews>
    <sheetView showGridLines="0" tabSelected="1" topLeftCell="BA1" zoomScale="90" workbookViewId="0">
      <selection activeCell="CE12" sqref="CE12"/>
    </sheetView>
  </sheetViews>
  <sheetFormatPr defaultColWidth="0" defaultRowHeight="15.5" x14ac:dyDescent="0.35"/>
  <cols>
    <col min="1" max="1" width="2.61328125" style="5" hidden="1" customWidth="1"/>
    <col min="2" max="2" width="11.3046875" style="5" hidden="1" customWidth="1"/>
    <col min="3" max="3" width="10.3046875" style="5" hidden="1" customWidth="1"/>
    <col min="4" max="4" width="11.69140625" style="5" hidden="1" customWidth="1"/>
    <col min="5" max="5" width="10.765625" style="5" hidden="1" customWidth="1"/>
    <col min="6" max="6" width="1.3046875" style="1" hidden="1" customWidth="1"/>
    <col min="7" max="31" width="0" style="1" hidden="1" customWidth="1"/>
    <col min="32" max="52" width="0" style="5" hidden="1" customWidth="1"/>
    <col min="53" max="53" width="29.07421875" style="5" customWidth="1"/>
    <col min="54" max="55" width="10.765625" style="5" customWidth="1"/>
    <col min="56" max="56" width="9" style="5" customWidth="1"/>
    <col min="57" max="57" width="2.23046875" style="5" customWidth="1"/>
    <col min="58" max="58" width="13" style="5" customWidth="1"/>
    <col min="59" max="59" width="9.69140625" style="5" customWidth="1"/>
    <col min="60" max="60" width="11.3046875" style="5" customWidth="1"/>
    <col min="61" max="61" width="9.69140625" style="5" customWidth="1"/>
    <col min="62" max="64" width="7" style="5" hidden="1" customWidth="1"/>
    <col min="65" max="65" width="7.921875" style="5" hidden="1" customWidth="1"/>
    <col min="66" max="67" width="7" style="5" hidden="1" customWidth="1"/>
    <col min="68" max="68" width="9.07421875" style="5" hidden="1" customWidth="1"/>
    <col min="69" max="79" width="0" style="5" hidden="1" customWidth="1"/>
    <col min="80" max="80" width="13" style="5" customWidth="1"/>
    <col min="81" max="81" width="6.765625" style="5" customWidth="1"/>
    <col min="82" max="82" width="8.921875" style="5" customWidth="1"/>
    <col min="83" max="83" width="10.921875" style="5" customWidth="1"/>
    <col min="84" max="84" width="10.69140625" style="5" customWidth="1"/>
    <col min="85" max="85" width="11.61328125" style="5" customWidth="1"/>
    <col min="86" max="16384" width="0" style="5" hidden="1"/>
  </cols>
  <sheetData>
    <row r="1" spans="2:84" s="268" customFormat="1" ht="24" customHeight="1" thickBot="1" x14ac:dyDescent="0.55000000000000004">
      <c r="B1" s="263" t="s">
        <v>0</v>
      </c>
      <c r="C1" s="264"/>
      <c r="D1" s="264"/>
      <c r="E1" s="265"/>
      <c r="F1" s="266"/>
      <c r="G1" s="267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BA1" s="411" t="s">
        <v>1</v>
      </c>
      <c r="BB1" s="412"/>
      <c r="BC1" s="412"/>
      <c r="BD1" s="413"/>
      <c r="BE1" s="412"/>
      <c r="BF1" s="414"/>
      <c r="BG1" s="415"/>
      <c r="BH1" s="416"/>
      <c r="BJ1" s="269" t="s">
        <v>2</v>
      </c>
      <c r="CB1" s="417" t="s">
        <v>3</v>
      </c>
      <c r="CC1" s="418"/>
      <c r="CD1" s="418"/>
      <c r="CE1" s="418"/>
      <c r="CF1" s="419"/>
    </row>
    <row r="2" spans="2:84" s="268" customFormat="1" ht="12.75" customHeight="1" thickTop="1" thickBot="1" x14ac:dyDescent="0.4">
      <c r="B2" s="270"/>
      <c r="C2" s="271"/>
      <c r="D2" s="271"/>
      <c r="E2" s="272"/>
      <c r="F2" s="266"/>
      <c r="G2" s="273" t="s">
        <v>4</v>
      </c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BA2" s="274"/>
      <c r="BB2" s="275"/>
      <c r="BC2" s="276"/>
      <c r="BD2" s="274"/>
      <c r="BE2" s="276"/>
      <c r="BF2" s="277"/>
      <c r="BG2" s="278"/>
      <c r="BH2" s="279"/>
      <c r="BJ2" s="267"/>
      <c r="CB2" s="420"/>
      <c r="CC2" s="421"/>
      <c r="CD2" s="421"/>
      <c r="CE2" s="421"/>
      <c r="CF2" s="422"/>
    </row>
    <row r="3" spans="2:84" s="268" customFormat="1" ht="18" customHeight="1" thickBot="1" x14ac:dyDescent="0.4">
      <c r="B3" s="280"/>
      <c r="C3" s="281" t="s">
        <v>5</v>
      </c>
      <c r="D3" s="281" t="s">
        <v>6</v>
      </c>
      <c r="E3" s="282" t="s">
        <v>7</v>
      </c>
      <c r="F3" s="266"/>
      <c r="G3" s="283" t="s">
        <v>8</v>
      </c>
      <c r="H3" s="266"/>
      <c r="I3" s="266"/>
      <c r="J3" s="266"/>
      <c r="K3" s="284"/>
      <c r="L3" s="285"/>
      <c r="M3" s="285"/>
      <c r="N3" s="285"/>
      <c r="O3" s="285"/>
      <c r="P3" s="285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6"/>
      <c r="AC3" s="266"/>
      <c r="AD3" s="266"/>
      <c r="AE3" s="266"/>
      <c r="BA3" s="286" t="s">
        <v>347</v>
      </c>
      <c r="BB3" s="287">
        <v>10.66</v>
      </c>
      <c r="BC3" s="276"/>
      <c r="BD3" s="267"/>
      <c r="BE3" s="288"/>
      <c r="BF3" s="289" t="s">
        <v>353</v>
      </c>
      <c r="BG3" s="290" t="s">
        <v>9</v>
      </c>
      <c r="BH3" s="291" t="str">
        <f>IF(BG3="","W, WD WB",IF(BG3="WD",0.8,IF(BG3="WB",1.6,IF(BG3="D","DRY","D, WD or WB"))))</f>
        <v>DRY</v>
      </c>
      <c r="BI3" s="292" t="str">
        <f>IF(BH3&lt;0,"IMPOSSIBLE",IF(BH3&gt;0," WET LAYED",""))</f>
        <v/>
      </c>
      <c r="BJ3" s="267"/>
      <c r="BQ3" s="293"/>
      <c r="CB3" s="423" t="s">
        <v>10</v>
      </c>
      <c r="CC3" s="424"/>
      <c r="CD3" s="424"/>
      <c r="CE3" s="425" t="s">
        <v>11</v>
      </c>
      <c r="CF3" s="426" t="s">
        <v>12</v>
      </c>
    </row>
    <row r="4" spans="2:84" s="268" customFormat="1" ht="16" thickBot="1" x14ac:dyDescent="0.4">
      <c r="B4" s="294"/>
      <c r="C4" s="295" t="str">
        <f>+BB10</f>
        <v>222</v>
      </c>
      <c r="D4" s="296" t="str">
        <f>+BC10</f>
        <v>622</v>
      </c>
      <c r="E4" s="297"/>
      <c r="F4" s="266"/>
      <c r="G4" s="283" t="s">
        <v>13</v>
      </c>
      <c r="H4" s="266"/>
      <c r="I4" s="266"/>
      <c r="J4" s="266"/>
      <c r="K4" s="298"/>
      <c r="L4" s="298"/>
      <c r="M4" s="298"/>
      <c r="N4" s="298"/>
      <c r="O4" s="298"/>
      <c r="P4" s="298"/>
      <c r="Q4" s="266"/>
      <c r="R4" s="266">
        <f>ATAN((C5-C6-$C10)/2/$C7)</f>
        <v>5.222519451420652E-2</v>
      </c>
      <c r="S4" s="266">
        <f>ATAN((D5-D6-$C10)/2/$D7)</f>
        <v>1.7043803994997421E-2</v>
      </c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BA4" s="286" t="s">
        <v>14</v>
      </c>
      <c r="BB4" s="290">
        <v>0</v>
      </c>
      <c r="BC4" s="276"/>
      <c r="BD4" s="267"/>
      <c r="BE4" s="299"/>
      <c r="BF4" s="289" t="s">
        <v>354</v>
      </c>
      <c r="BG4" s="300" t="s">
        <v>15</v>
      </c>
      <c r="BH4" s="291" t="str">
        <f>IF(BG4="","Y or N ?",IF(BG4="Y",0.15,IF(BG4="N","NONE","Y or N ?")))</f>
        <v>NONE</v>
      </c>
      <c r="BI4" s="301"/>
      <c r="BJ4" s="267"/>
      <c r="BQ4" s="293"/>
      <c r="CB4" s="427"/>
      <c r="CC4" s="428"/>
      <c r="CD4" s="428"/>
      <c r="CE4" s="429"/>
      <c r="CF4" s="430"/>
    </row>
    <row r="5" spans="2:84" s="268" customFormat="1" ht="16" thickBot="1" x14ac:dyDescent="0.4">
      <c r="B5" s="302" t="s">
        <v>16</v>
      </c>
      <c r="C5" s="303">
        <f>VLOOKUP($C4,[0]!SHAPE,3)</f>
        <v>103</v>
      </c>
      <c r="D5" s="303">
        <f>VLOOKUP($D4,[0]!SHAPE,3)</f>
        <v>103</v>
      </c>
      <c r="E5" s="304">
        <v>6</v>
      </c>
      <c r="F5" s="266"/>
      <c r="G5" s="283" t="s">
        <v>17</v>
      </c>
      <c r="H5" s="266"/>
      <c r="I5" s="266"/>
      <c r="J5" s="266"/>
      <c r="K5" s="298"/>
      <c r="L5" s="298"/>
      <c r="M5" s="298"/>
      <c r="N5" s="298"/>
      <c r="O5" s="298"/>
      <c r="P5" s="305" t="s">
        <v>18</v>
      </c>
      <c r="Q5" s="306"/>
      <c r="R5" s="306">
        <f>($C9+C5)/SIN(R4)</f>
        <v>1973.1249916095478</v>
      </c>
      <c r="S5" s="306">
        <f>($C9+D5)/SIN(S4)</f>
        <v>6043.5444438213954</v>
      </c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BA5" s="286" t="s">
        <v>19</v>
      </c>
      <c r="BB5" s="307">
        <v>18</v>
      </c>
      <c r="BC5" s="276"/>
      <c r="BD5" s="308"/>
      <c r="BE5" s="309"/>
      <c r="BF5" s="310"/>
      <c r="BG5" s="311"/>
      <c r="BH5" s="312"/>
      <c r="BJ5" s="313" t="s">
        <v>20</v>
      </c>
      <c r="BK5" s="314"/>
      <c r="BL5" s="314"/>
      <c r="BM5" s="314"/>
      <c r="BN5" s="314"/>
      <c r="BO5" s="314"/>
      <c r="BP5" s="314"/>
      <c r="BQ5" s="315"/>
      <c r="CB5" s="427" t="s">
        <v>21</v>
      </c>
      <c r="CC5" s="428"/>
      <c r="CD5" s="428"/>
      <c r="CE5" s="431">
        <v>3.25</v>
      </c>
      <c r="CF5" s="430">
        <f>IF(CE5&gt;0,ROUND(CE5*1000/25.4/12,3),"N/A")</f>
        <v>10.663</v>
      </c>
    </row>
    <row r="6" spans="2:84" s="268" customFormat="1" ht="16" thickBot="1" x14ac:dyDescent="0.4">
      <c r="B6" s="302" t="s">
        <v>22</v>
      </c>
      <c r="C6" s="303">
        <f>VLOOKUP($C4,[0]!SHAPE,4)</f>
        <v>80</v>
      </c>
      <c r="D6" s="303">
        <f>VLOOKUP($D4,[0]!SHAPE,4)</f>
        <v>95.5</v>
      </c>
      <c r="E6" s="316"/>
      <c r="F6" s="266"/>
      <c r="G6" s="283" t="s">
        <v>23</v>
      </c>
      <c r="H6" s="266"/>
      <c r="I6" s="266"/>
      <c r="J6" s="266"/>
      <c r="K6" s="284"/>
      <c r="L6" s="285"/>
      <c r="M6" s="285"/>
      <c r="N6" s="285"/>
      <c r="O6" s="285"/>
      <c r="P6" s="305" t="s">
        <v>24</v>
      </c>
      <c r="Q6" s="306"/>
      <c r="R6" s="306">
        <f>PI()/R4</f>
        <v>60.154733415788499</v>
      </c>
      <c r="S6" s="306">
        <f>PI()/S4</f>
        <v>184.32461758606775</v>
      </c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BA6" s="317" t="s">
        <v>355</v>
      </c>
      <c r="BB6" s="290" t="s">
        <v>25</v>
      </c>
      <c r="BC6" s="276"/>
      <c r="BD6" s="292" t="str">
        <f>IF(AND(BD9="I",BB6="A")=1,"",IF(AND(BD9="V",BB6="B")=1,"",BJ1))</f>
        <v/>
      </c>
      <c r="BE6" s="318"/>
      <c r="BF6" s="319"/>
      <c r="BG6" s="320"/>
      <c r="BH6" s="301"/>
      <c r="BQ6" s="293"/>
      <c r="CB6" s="427"/>
      <c r="CC6" s="428"/>
      <c r="CD6" s="428"/>
      <c r="CE6" s="429"/>
      <c r="CF6" s="430"/>
    </row>
    <row r="7" spans="2:84" s="268" customFormat="1" ht="15" customHeight="1" x14ac:dyDescent="0.35">
      <c r="B7" s="302" t="s">
        <v>26</v>
      </c>
      <c r="C7" s="303">
        <f>VLOOKUP($C4,[0]!SHAPE,5)</f>
        <v>220</v>
      </c>
      <c r="D7" s="303">
        <f>VLOOKUP($D4,[0]!SHAPE,5)</f>
        <v>220</v>
      </c>
      <c r="E7" s="321">
        <f>IF(C7=D7,1,0)</f>
        <v>1</v>
      </c>
      <c r="F7" s="266"/>
      <c r="G7" s="283" t="s">
        <v>27</v>
      </c>
      <c r="H7" s="266"/>
      <c r="I7" s="266"/>
      <c r="J7" s="266"/>
      <c r="K7" s="298"/>
      <c r="L7" s="298"/>
      <c r="M7" s="298"/>
      <c r="N7" s="298"/>
      <c r="O7" s="298"/>
      <c r="P7" s="305" t="s">
        <v>28</v>
      </c>
      <c r="Q7" s="306"/>
      <c r="R7" s="306">
        <f>R5/304.8</f>
        <v>6.4735071903200385</v>
      </c>
      <c r="S7" s="306">
        <f>S5/304.8</f>
        <v>19.827901718574132</v>
      </c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BA7" s="274"/>
      <c r="BB7" s="276"/>
      <c r="BC7" s="276"/>
      <c r="BD7" s="292"/>
      <c r="BE7" s="318"/>
      <c r="BF7" s="319"/>
      <c r="BG7" s="320"/>
      <c r="BH7" s="322" t="s">
        <v>29</v>
      </c>
      <c r="BJ7" s="323" t="s">
        <v>30</v>
      </c>
      <c r="BK7" s="324" t="s">
        <v>31</v>
      </c>
      <c r="BL7" s="324" t="s">
        <v>31</v>
      </c>
      <c r="BM7" s="325" t="s">
        <v>32</v>
      </c>
      <c r="BN7" s="323" t="s">
        <v>30</v>
      </c>
      <c r="BO7" s="324" t="s">
        <v>33</v>
      </c>
      <c r="BP7" s="324" t="s">
        <v>33</v>
      </c>
      <c r="BQ7" s="325" t="s">
        <v>32</v>
      </c>
      <c r="CB7" s="427" t="s">
        <v>34</v>
      </c>
      <c r="CC7" s="428"/>
      <c r="CD7" s="428"/>
      <c r="CE7" s="431">
        <v>0</v>
      </c>
      <c r="CF7" s="430" t="str">
        <f>IF(CE7&gt;0,ROUND(CE7*1000/25.4/12,3),"N/A")</f>
        <v>N/A</v>
      </c>
    </row>
    <row r="8" spans="2:84" s="268" customFormat="1" x14ac:dyDescent="0.35">
      <c r="B8" s="326" t="str">
        <f>IF(C7=D7,"","SHAPE WITH DIFFERENT THICKNESS ???")</f>
        <v/>
      </c>
      <c r="C8" s="327"/>
      <c r="D8" s="328"/>
      <c r="E8" s="329"/>
      <c r="F8" s="266"/>
      <c r="G8" s="283" t="s">
        <v>35</v>
      </c>
      <c r="H8" s="266"/>
      <c r="I8" s="266"/>
      <c r="J8" s="266"/>
      <c r="K8" s="298"/>
      <c r="L8" s="298"/>
      <c r="M8" s="298"/>
      <c r="N8" s="298"/>
      <c r="O8" s="298"/>
      <c r="P8" s="298"/>
      <c r="Q8" s="266"/>
      <c r="R8" s="266"/>
      <c r="S8" s="266"/>
      <c r="T8" s="266"/>
      <c r="U8" s="266"/>
      <c r="V8" s="266"/>
      <c r="W8" s="266"/>
      <c r="X8" s="266"/>
      <c r="Y8" s="266"/>
      <c r="Z8" s="266"/>
      <c r="AA8" s="266"/>
      <c r="AB8" s="266"/>
      <c r="AC8" s="266"/>
      <c r="AD8" s="266"/>
      <c r="AE8" s="266"/>
      <c r="BA8" s="274"/>
      <c r="BB8" s="330" t="s">
        <v>36</v>
      </c>
      <c r="BC8" s="330" t="s">
        <v>37</v>
      </c>
      <c r="BD8" s="331" t="s">
        <v>38</v>
      </c>
      <c r="BE8" s="274"/>
      <c r="BF8" s="332" t="s">
        <v>333</v>
      </c>
      <c r="BG8" s="320"/>
      <c r="BH8" s="333"/>
      <c r="BJ8" s="334"/>
      <c r="BK8" s="335"/>
      <c r="BL8" s="335"/>
      <c r="BM8" s="336"/>
      <c r="BN8" s="334"/>
      <c r="BO8" s="335"/>
      <c r="BP8" s="335"/>
      <c r="BQ8" s="336"/>
      <c r="CB8" s="432"/>
      <c r="CC8" s="433"/>
      <c r="CD8" s="433"/>
      <c r="CE8" s="433"/>
      <c r="CF8" s="434"/>
    </row>
    <row r="9" spans="2:84" s="268" customFormat="1" ht="16" thickBot="1" x14ac:dyDescent="0.4">
      <c r="B9" s="337" t="s">
        <v>39</v>
      </c>
      <c r="C9" s="338" t="str">
        <f>+BH3</f>
        <v>DRY</v>
      </c>
      <c r="D9" s="339"/>
      <c r="E9" s="297"/>
      <c r="F9" s="266"/>
      <c r="G9" s="267"/>
      <c r="H9" s="266"/>
      <c r="I9" s="266"/>
      <c r="J9" s="266"/>
      <c r="K9" s="284"/>
      <c r="L9" s="285"/>
      <c r="M9" s="285"/>
      <c r="N9" s="285"/>
      <c r="O9" s="285"/>
      <c r="P9" s="285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BA9" s="274"/>
      <c r="BB9" s="330" t="s">
        <v>40</v>
      </c>
      <c r="BC9" s="330" t="s">
        <v>40</v>
      </c>
      <c r="BD9" s="340" t="str">
        <f>VLOOKUP(BB10,SHAPE,2)</f>
        <v>I</v>
      </c>
      <c r="BE9" s="274"/>
      <c r="BF9" s="341">
        <f>VLOOKUP(BB10,SIZE!A2:J61,10)</f>
        <v>198</v>
      </c>
      <c r="BG9" s="320"/>
      <c r="BH9" s="322" t="s">
        <v>29</v>
      </c>
      <c r="BJ9" s="334">
        <v>160</v>
      </c>
      <c r="BK9" s="335" t="s">
        <v>41</v>
      </c>
      <c r="BL9" s="335" t="s">
        <v>42</v>
      </c>
      <c r="BM9" s="336" t="s">
        <v>43</v>
      </c>
      <c r="BN9" s="334">
        <v>160</v>
      </c>
      <c r="BO9" s="335" t="s">
        <v>44</v>
      </c>
      <c r="BP9" s="335" t="s">
        <v>45</v>
      </c>
      <c r="BQ9" s="336" t="s">
        <v>46</v>
      </c>
      <c r="CB9" s="267"/>
      <c r="CC9" s="267"/>
      <c r="CD9" s="267"/>
      <c r="CE9" s="267"/>
      <c r="CF9" s="267"/>
    </row>
    <row r="10" spans="2:84" s="268" customFormat="1" ht="16" thickBot="1" x14ac:dyDescent="0.4">
      <c r="B10" s="302" t="s">
        <v>47</v>
      </c>
      <c r="C10" s="338" t="str">
        <f>+BH4</f>
        <v>NONE</v>
      </c>
      <c r="D10" s="339"/>
      <c r="E10" s="297"/>
      <c r="F10" s="266"/>
      <c r="G10" s="266"/>
      <c r="H10" s="266"/>
      <c r="I10" s="266"/>
      <c r="J10" s="266"/>
      <c r="K10" s="298"/>
      <c r="L10" s="298"/>
      <c r="M10" s="298"/>
      <c r="N10" s="298"/>
      <c r="O10" s="298"/>
      <c r="P10" s="298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BA10" s="331" t="s">
        <v>48</v>
      </c>
      <c r="BB10" s="342" t="s">
        <v>130</v>
      </c>
      <c r="BC10" s="342" t="s">
        <v>128</v>
      </c>
      <c r="BD10" s="343" t="str">
        <f>VLOOKUP(C7,IF(BD9="I",ISO,VDZ),IF(BB6="A",2,3))</f>
        <v>K-22A</v>
      </c>
      <c r="BE10" s="344"/>
      <c r="BF10" s="292" t="str">
        <f>IF(VLOOKUP(BB10,SHAPE,2)=VLOOKUP(BC10,SHAPE,2),"","&lt;-- One ISO SHAPE and One VDZ ??")</f>
        <v/>
      </c>
      <c r="BG10" s="274"/>
      <c r="BH10" s="276"/>
      <c r="BJ10" s="334">
        <v>180</v>
      </c>
      <c r="BK10" s="335" t="s">
        <v>51</v>
      </c>
      <c r="BL10" s="335" t="s">
        <v>52</v>
      </c>
      <c r="BM10" s="336" t="s">
        <v>53</v>
      </c>
      <c r="BN10" s="334">
        <v>180</v>
      </c>
      <c r="BO10" s="335" t="s">
        <v>54</v>
      </c>
      <c r="BP10" s="335" t="s">
        <v>55</v>
      </c>
      <c r="BQ10" s="336" t="s">
        <v>56</v>
      </c>
      <c r="CB10" s="345"/>
      <c r="CC10" s="345"/>
      <c r="CD10" s="345"/>
      <c r="CE10" s="345"/>
    </row>
    <row r="11" spans="2:84" s="268" customFormat="1" x14ac:dyDescent="0.35">
      <c r="B11" s="346" t="s">
        <v>57</v>
      </c>
      <c r="C11" s="347" t="s">
        <v>58</v>
      </c>
      <c r="D11" s="347" t="s">
        <v>58</v>
      </c>
      <c r="E11" s="348" t="s">
        <v>59</v>
      </c>
      <c r="F11" s="266"/>
      <c r="G11" s="303"/>
      <c r="H11" s="266"/>
      <c r="I11" s="266"/>
      <c r="J11" s="266"/>
      <c r="K11" s="298"/>
      <c r="L11" s="298"/>
      <c r="M11" s="298"/>
      <c r="N11" s="298"/>
      <c r="O11" s="298"/>
      <c r="P11" s="298"/>
      <c r="Q11" s="266"/>
      <c r="R11" s="266"/>
      <c r="S11" s="266"/>
      <c r="T11" s="266"/>
      <c r="U11" s="266"/>
      <c r="V11" s="266"/>
      <c r="W11" s="266"/>
      <c r="X11" s="266"/>
      <c r="Y11" s="266"/>
      <c r="Z11" s="266"/>
      <c r="AA11" s="266"/>
      <c r="AB11" s="266"/>
      <c r="AC11" s="266"/>
      <c r="AD11" s="266"/>
      <c r="AE11" s="266"/>
      <c r="BA11" s="349" t="s">
        <v>60</v>
      </c>
      <c r="BB11" s="350" t="str">
        <f>VLOOKUP(BB10,SHAPE,6)</f>
        <v># 06552</v>
      </c>
      <c r="BC11" s="350" t="str">
        <f>VLOOKUP(BC10,SHAPE,6)</f>
        <v># 06095</v>
      </c>
      <c r="BD11" s="351" t="str">
        <f>VLOOKUP(C7,IF(BD9="I",ISO,VDZ),4)</f>
        <v># 13024</v>
      </c>
      <c r="BE11" s="320"/>
      <c r="BF11" s="274"/>
      <c r="BG11" s="320"/>
      <c r="BH11" s="352" t="s">
        <v>61</v>
      </c>
      <c r="BJ11" s="334">
        <v>200</v>
      </c>
      <c r="BK11" s="335" t="s">
        <v>62</v>
      </c>
      <c r="BL11" s="335" t="s">
        <v>63</v>
      </c>
      <c r="BM11" s="336" t="s">
        <v>64</v>
      </c>
      <c r="BN11" s="334">
        <v>200</v>
      </c>
      <c r="BO11" s="335" t="s">
        <v>65</v>
      </c>
      <c r="BP11" s="335" t="s">
        <v>66</v>
      </c>
      <c r="BQ11" s="336" t="s">
        <v>67</v>
      </c>
      <c r="CB11" s="345"/>
      <c r="CC11" s="345"/>
      <c r="CD11" s="345"/>
      <c r="CE11" s="345"/>
    </row>
    <row r="12" spans="2:84" s="268" customFormat="1" ht="19" thickBot="1" x14ac:dyDescent="0.5">
      <c r="B12" s="302" t="s">
        <v>68</v>
      </c>
      <c r="C12" s="353"/>
      <c r="D12" s="353"/>
      <c r="E12" s="354"/>
      <c r="F12" s="266"/>
      <c r="G12" s="266"/>
      <c r="H12" s="266"/>
      <c r="I12" s="266"/>
      <c r="J12" s="266"/>
      <c r="K12" s="284"/>
      <c r="L12" s="285"/>
      <c r="M12" s="285"/>
      <c r="N12" s="285"/>
      <c r="O12" s="285"/>
      <c r="P12" s="285"/>
      <c r="Q12" s="266"/>
      <c r="R12" s="266"/>
      <c r="S12" s="266"/>
      <c r="T12" s="266"/>
      <c r="U12" s="266"/>
      <c r="V12" s="266"/>
      <c r="W12" s="266"/>
      <c r="X12" s="266"/>
      <c r="Y12" s="266"/>
      <c r="Z12" s="266"/>
      <c r="AA12" s="266"/>
      <c r="AB12" s="266"/>
      <c r="AC12" s="266"/>
      <c r="AD12" s="266"/>
      <c r="AE12" s="266"/>
      <c r="BA12" s="349" t="s">
        <v>69</v>
      </c>
      <c r="BB12" s="355">
        <f>IF(AND(C13&gt;0,$BH3&gt;=0,$BH4&gt;=0,E7=1),C13,"N/A  ")</f>
        <v>41</v>
      </c>
      <c r="BC12" s="356">
        <f>IF(AND(D13&gt;0,$BH3&gt;=0,$BH4&gt;=0,E7=1),D13,"N/A  ")</f>
        <v>58</v>
      </c>
      <c r="BD12" s="357">
        <v>1</v>
      </c>
      <c r="BE12" s="320"/>
      <c r="BF12" s="331" t="s">
        <v>70</v>
      </c>
      <c r="BG12" s="358">
        <f>IF(BB5=0," ",ROUNDUP((BB5*304.5)/BF9,0))</f>
        <v>28</v>
      </c>
      <c r="BH12" s="359">
        <f>IF(BB12="N/A  ",1,IF(BC12="N/A  ",1,0))</f>
        <v>0</v>
      </c>
      <c r="BJ12" s="334">
        <v>220</v>
      </c>
      <c r="BK12" s="335" t="s">
        <v>71</v>
      </c>
      <c r="BL12" s="335" t="s">
        <v>72</v>
      </c>
      <c r="BM12" s="336" t="s">
        <v>73</v>
      </c>
      <c r="BN12" s="334">
        <v>220</v>
      </c>
      <c r="BO12" s="335" t="s">
        <v>74</v>
      </c>
      <c r="BP12" s="335" t="s">
        <v>75</v>
      </c>
      <c r="BQ12" s="336" t="s">
        <v>76</v>
      </c>
      <c r="CB12" s="345"/>
      <c r="CC12" s="345"/>
      <c r="CD12" s="345"/>
      <c r="CE12" s="345"/>
    </row>
    <row r="13" spans="2:84" s="268" customFormat="1" ht="16" thickBot="1" x14ac:dyDescent="0.4">
      <c r="B13" s="360">
        <f>+BB3-(BB4*2/12)</f>
        <v>10.66</v>
      </c>
      <c r="C13" s="361">
        <f>ROUND($R13+0.105,0)</f>
        <v>41</v>
      </c>
      <c r="D13" s="361">
        <f>ROUND($S13+0.105,0)</f>
        <v>58</v>
      </c>
      <c r="E13" s="354">
        <f>+C13+D13</f>
        <v>99</v>
      </c>
      <c r="F13" s="362"/>
      <c r="G13" s="266"/>
      <c r="H13" s="266"/>
      <c r="I13" s="266"/>
      <c r="J13" s="266"/>
      <c r="K13" s="298"/>
      <c r="L13" s="298"/>
      <c r="M13" s="298"/>
      <c r="N13" s="298"/>
      <c r="O13" s="298"/>
      <c r="P13" s="298"/>
      <c r="Q13" s="266"/>
      <c r="R13" s="362">
        <f t="shared" ref="R13:R18" si="0">ROUND((S$5-304.8*$B13)/(S$5-R$5)*R$6,1)</f>
        <v>41.3</v>
      </c>
      <c r="S13" s="362">
        <f t="shared" ref="S13:S18" si="1">ROUND((304.8*$B13-R$5)/(S$5-R$5)*S$6,1)</f>
        <v>57.8</v>
      </c>
      <c r="T13" s="362">
        <f t="shared" ref="T13:T56" si="2">S13+R13</f>
        <v>99.1</v>
      </c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BA13" s="349" t="s">
        <v>77</v>
      </c>
      <c r="BB13" s="356">
        <f>+BB12*BG12</f>
        <v>1148</v>
      </c>
      <c r="BC13" s="356">
        <f>+BC12*BG12</f>
        <v>1624</v>
      </c>
      <c r="BD13" s="357">
        <f>+BG12</f>
        <v>28</v>
      </c>
      <c r="BE13" s="320"/>
      <c r="BF13" s="331" t="s">
        <v>78</v>
      </c>
      <c r="BG13" s="358">
        <f>ROUND(BG12*BF9/304.8,1)</f>
        <v>18.2</v>
      </c>
      <c r="BH13" s="352">
        <f>IF(C7=D7,0,1)</f>
        <v>0</v>
      </c>
      <c r="BJ13" s="363">
        <v>250</v>
      </c>
      <c r="BK13" s="364" t="s">
        <v>79</v>
      </c>
      <c r="BL13" s="364" t="s">
        <v>80</v>
      </c>
      <c r="BM13" s="365"/>
      <c r="BN13" s="363">
        <v>250</v>
      </c>
      <c r="BO13" s="364" t="s">
        <v>81</v>
      </c>
      <c r="BP13" s="364" t="s">
        <v>82</v>
      </c>
      <c r="BQ13" s="365" t="s">
        <v>83</v>
      </c>
      <c r="CB13" s="345"/>
      <c r="CC13" s="345"/>
      <c r="CD13" s="345"/>
      <c r="CE13" s="345"/>
    </row>
    <row r="14" spans="2:84" s="268" customFormat="1" ht="18.5" x14ac:dyDescent="0.45">
      <c r="B14" s="366">
        <f>B13+E$5/12</f>
        <v>11.16</v>
      </c>
      <c r="C14" s="361">
        <f t="shared" ref="C14:C29" si="3">ROUND($R14+0.105,0)</f>
        <v>39</v>
      </c>
      <c r="D14" s="361">
        <f t="shared" ref="D14:D29" si="4">ROUND($S14+0.105,0)</f>
        <v>65</v>
      </c>
      <c r="E14" s="354">
        <f t="shared" ref="E14:E47" si="5">C14+D14</f>
        <v>104</v>
      </c>
      <c r="F14" s="362"/>
      <c r="G14" s="266"/>
      <c r="H14" s="266"/>
      <c r="I14" s="266"/>
      <c r="J14" s="266"/>
      <c r="K14" s="298"/>
      <c r="L14" s="298"/>
      <c r="M14" s="298"/>
      <c r="N14" s="298"/>
      <c r="O14" s="298"/>
      <c r="P14" s="298"/>
      <c r="Q14" s="266"/>
      <c r="R14" s="362">
        <f t="shared" si="0"/>
        <v>39</v>
      </c>
      <c r="S14" s="362">
        <f t="shared" si="1"/>
        <v>64.7</v>
      </c>
      <c r="T14" s="362">
        <f t="shared" si="2"/>
        <v>103.7</v>
      </c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BA14" s="367" t="str">
        <f>+B8</f>
        <v/>
      </c>
      <c r="BB14" s="368"/>
      <c r="BC14" s="368"/>
      <c r="BD14" s="368"/>
      <c r="BE14" s="369"/>
      <c r="BF14" s="370"/>
      <c r="BG14" s="320"/>
      <c r="BH14" s="352">
        <f>+BH13+BH12</f>
        <v>0</v>
      </c>
      <c r="BQ14" s="293"/>
      <c r="CB14" s="345"/>
      <c r="CC14" s="345"/>
      <c r="CD14" s="345"/>
      <c r="CE14" s="345"/>
    </row>
    <row r="15" spans="2:84" s="268" customFormat="1" x14ac:dyDescent="0.35">
      <c r="B15" s="366">
        <f t="shared" ref="B15:B30" si="6">B14+E$5/12</f>
        <v>11.66</v>
      </c>
      <c r="C15" s="361">
        <f t="shared" si="3"/>
        <v>37</v>
      </c>
      <c r="D15" s="361">
        <f t="shared" si="4"/>
        <v>72</v>
      </c>
      <c r="E15" s="354">
        <f t="shared" si="5"/>
        <v>109</v>
      </c>
      <c r="F15" s="362"/>
      <c r="G15" s="266"/>
      <c r="H15" s="266"/>
      <c r="I15" s="266"/>
      <c r="J15" s="266"/>
      <c r="K15" s="284"/>
      <c r="L15" s="285"/>
      <c r="M15" s="285"/>
      <c r="N15" s="285"/>
      <c r="O15" s="285"/>
      <c r="P15" s="285"/>
      <c r="Q15" s="266"/>
      <c r="R15" s="362">
        <f t="shared" si="0"/>
        <v>36.799999999999997</v>
      </c>
      <c r="S15" s="362">
        <f t="shared" si="1"/>
        <v>71.599999999999994</v>
      </c>
      <c r="T15" s="362">
        <f t="shared" si="2"/>
        <v>108.39999999999999</v>
      </c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BA15" s="349" t="s">
        <v>84</v>
      </c>
      <c r="BB15" s="371">
        <f>VLOOKUP(BB10,SHAPE,IF($BB6="A",8,IF($BB6="B",9,"")))</f>
        <v>144</v>
      </c>
      <c r="BC15" s="371">
        <f>VLOOKUP(BC10,SHAPE,IF($BB6="A",8,IF($BB6="B",9,"")))</f>
        <v>144</v>
      </c>
      <c r="BD15" s="286" t="s">
        <v>85</v>
      </c>
      <c r="BE15" s="372"/>
      <c r="BF15" s="373" t="s">
        <v>4</v>
      </c>
      <c r="BG15" s="374"/>
      <c r="BH15" s="375"/>
      <c r="BI15" s="293"/>
      <c r="BQ15" s="293"/>
      <c r="CB15" s="345"/>
      <c r="CC15" s="345"/>
      <c r="CD15" s="345"/>
      <c r="CE15" s="345"/>
    </row>
    <row r="16" spans="2:84" s="268" customFormat="1" x14ac:dyDescent="0.35">
      <c r="B16" s="366">
        <f t="shared" si="6"/>
        <v>12.16</v>
      </c>
      <c r="C16" s="361">
        <f t="shared" si="3"/>
        <v>35</v>
      </c>
      <c r="D16" s="361">
        <f t="shared" si="4"/>
        <v>79</v>
      </c>
      <c r="E16" s="354">
        <f t="shared" si="5"/>
        <v>114</v>
      </c>
      <c r="F16" s="362"/>
      <c r="G16" s="266"/>
      <c r="H16" s="266"/>
      <c r="I16" s="266"/>
      <c r="J16" s="266"/>
      <c r="K16" s="298"/>
      <c r="L16" s="298"/>
      <c r="M16" s="298"/>
      <c r="N16" s="298"/>
      <c r="O16" s="298"/>
      <c r="P16" s="298"/>
      <c r="Q16" s="266"/>
      <c r="R16" s="362">
        <f t="shared" si="0"/>
        <v>34.5</v>
      </c>
      <c r="S16" s="362">
        <f t="shared" si="1"/>
        <v>78.5</v>
      </c>
      <c r="T16" s="362">
        <f t="shared" si="2"/>
        <v>113</v>
      </c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BA16" s="349" t="s">
        <v>86</v>
      </c>
      <c r="BB16" s="376">
        <f>+BB17/BB15</f>
        <v>8</v>
      </c>
      <c r="BC16" s="376">
        <f>+BC17/BC15</f>
        <v>12</v>
      </c>
      <c r="BD16" s="286" t="s">
        <v>85</v>
      </c>
      <c r="BE16" s="377"/>
      <c r="BF16" s="378" t="s">
        <v>87</v>
      </c>
      <c r="BG16" s="379"/>
      <c r="BH16" s="380"/>
      <c r="BI16" s="293"/>
      <c r="BQ16" s="293"/>
      <c r="CB16" s="345"/>
      <c r="CC16" s="345"/>
      <c r="CD16" s="345"/>
      <c r="CE16" s="345"/>
    </row>
    <row r="17" spans="1:83" s="268" customFormat="1" x14ac:dyDescent="0.35">
      <c r="B17" s="366">
        <f t="shared" si="6"/>
        <v>12.66</v>
      </c>
      <c r="C17" s="361">
        <f t="shared" si="3"/>
        <v>32</v>
      </c>
      <c r="D17" s="361">
        <f t="shared" si="4"/>
        <v>86</v>
      </c>
      <c r="E17" s="354">
        <f t="shared" si="5"/>
        <v>118</v>
      </c>
      <c r="F17" s="362"/>
      <c r="G17" s="266"/>
      <c r="H17" s="266"/>
      <c r="I17" s="266"/>
      <c r="J17" s="266"/>
      <c r="K17" s="298"/>
      <c r="L17" s="298"/>
      <c r="M17" s="298"/>
      <c r="N17" s="298"/>
      <c r="O17" s="298"/>
      <c r="P17" s="298"/>
      <c r="Q17" s="266"/>
      <c r="R17" s="362">
        <f t="shared" si="0"/>
        <v>32.299999999999997</v>
      </c>
      <c r="S17" s="362">
        <f t="shared" si="1"/>
        <v>85.4</v>
      </c>
      <c r="T17" s="362">
        <f t="shared" si="2"/>
        <v>117.7</v>
      </c>
      <c r="U17" s="266"/>
      <c r="V17" s="266"/>
      <c r="W17" s="266"/>
      <c r="X17" s="266"/>
      <c r="Y17" s="266"/>
      <c r="Z17" s="266"/>
      <c r="AA17" s="266"/>
      <c r="AB17" s="266"/>
      <c r="AC17" s="266"/>
      <c r="AD17" s="266"/>
      <c r="AE17" s="266"/>
      <c r="BA17" s="349" t="s">
        <v>88</v>
      </c>
      <c r="BB17" s="381">
        <f>IF(BH14=0,CEILING(BB13,BB15),"N/A   ")</f>
        <v>1152</v>
      </c>
      <c r="BC17" s="381">
        <f>IF(BH14=0,CEILING(BC13,BC15),"N/A   ")</f>
        <v>1728</v>
      </c>
      <c r="BD17" s="381">
        <f>IF(BC17="N/A   ","N/A   ",BD13)</f>
        <v>28</v>
      </c>
      <c r="BE17" s="377"/>
      <c r="BF17" s="382" t="s">
        <v>13</v>
      </c>
      <c r="BG17" s="383"/>
      <c r="BH17" s="384"/>
      <c r="BI17" s="293"/>
      <c r="CB17" s="385"/>
      <c r="CC17" s="345"/>
      <c r="CD17" s="345"/>
      <c r="CE17" s="345"/>
    </row>
    <row r="18" spans="1:83" s="268" customFormat="1" ht="18.5" x14ac:dyDescent="0.45">
      <c r="B18" s="366">
        <f t="shared" si="6"/>
        <v>13.16</v>
      </c>
      <c r="C18" s="361">
        <f t="shared" si="3"/>
        <v>30</v>
      </c>
      <c r="D18" s="361">
        <f t="shared" si="4"/>
        <v>92</v>
      </c>
      <c r="E18" s="354">
        <f t="shared" si="5"/>
        <v>122</v>
      </c>
      <c r="F18" s="362"/>
      <c r="G18" s="266"/>
      <c r="H18" s="266"/>
      <c r="I18" s="266"/>
      <c r="J18" s="266"/>
      <c r="K18" s="284"/>
      <c r="L18" s="285"/>
      <c r="M18" s="285"/>
      <c r="N18" s="285"/>
      <c r="O18" s="285"/>
      <c r="P18" s="285"/>
      <c r="Q18" s="266"/>
      <c r="R18" s="362">
        <f t="shared" si="0"/>
        <v>30</v>
      </c>
      <c r="S18" s="362">
        <f t="shared" si="1"/>
        <v>92.3</v>
      </c>
      <c r="T18" s="362">
        <f t="shared" si="2"/>
        <v>122.3</v>
      </c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BA18" s="386" t="str">
        <f>IF(BH12=1,"Impossible to turn this kiln size with these shapes !!!","")</f>
        <v/>
      </c>
      <c r="BB18" s="387"/>
      <c r="BC18" s="387"/>
      <c r="BD18" s="387"/>
      <c r="BE18" s="388"/>
      <c r="BF18" s="389" t="s">
        <v>89</v>
      </c>
      <c r="BG18" s="383"/>
      <c r="BH18" s="384"/>
      <c r="BI18" s="293"/>
      <c r="CB18" s="390"/>
      <c r="CE18" s="345"/>
    </row>
    <row r="19" spans="1:83" s="268" customFormat="1" ht="24" customHeight="1" x14ac:dyDescent="0.45">
      <c r="B19" s="366">
        <f t="shared" si="6"/>
        <v>13.66</v>
      </c>
      <c r="C19" s="361">
        <f t="shared" si="3"/>
        <v>28</v>
      </c>
      <c r="D19" s="361">
        <f t="shared" si="4"/>
        <v>99</v>
      </c>
      <c r="E19" s="354">
        <f t="shared" si="5"/>
        <v>127</v>
      </c>
      <c r="F19" s="362"/>
      <c r="G19" s="266"/>
      <c r="H19" s="266"/>
      <c r="I19" s="266"/>
      <c r="J19" s="266"/>
      <c r="K19" s="298"/>
      <c r="L19" s="298"/>
      <c r="M19" s="298"/>
      <c r="N19" s="298"/>
      <c r="O19" s="298"/>
      <c r="P19" s="298"/>
      <c r="Q19" s="266"/>
      <c r="R19" s="362">
        <f t="shared" ref="R19:R34" si="7">ROUND((S$5-304.8*$B19)/(S$5-R$5)*R$6,1)</f>
        <v>27.8</v>
      </c>
      <c r="S19" s="362">
        <f t="shared" ref="S19:S34" si="8">ROUND((304.8*$B19-R$5)/(S$5-R$5)*S$6,1)</f>
        <v>99.2</v>
      </c>
      <c r="T19" s="362">
        <f t="shared" si="2"/>
        <v>127</v>
      </c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BA19" s="391" t="s">
        <v>356</v>
      </c>
      <c r="BB19" s="392"/>
      <c r="BC19" s="392"/>
      <c r="BD19" s="392"/>
      <c r="BE19" s="393"/>
      <c r="BF19" s="393"/>
      <c r="BG19" s="393"/>
      <c r="BH19" s="394"/>
      <c r="CE19" s="345"/>
    </row>
    <row r="20" spans="1:83" s="268" customFormat="1" x14ac:dyDescent="0.35">
      <c r="A20" s="345"/>
      <c r="B20" s="395">
        <f t="shared" si="6"/>
        <v>14.16</v>
      </c>
      <c r="C20" s="396">
        <f t="shared" si="3"/>
        <v>26</v>
      </c>
      <c r="D20" s="396">
        <f t="shared" si="4"/>
        <v>106</v>
      </c>
      <c r="E20" s="397">
        <f t="shared" si="5"/>
        <v>132</v>
      </c>
      <c r="F20" s="398"/>
      <c r="G20" s="345"/>
      <c r="H20" s="345"/>
      <c r="I20" s="345"/>
      <c r="J20" s="345"/>
      <c r="K20" s="399"/>
      <c r="L20" s="399"/>
      <c r="M20" s="399"/>
      <c r="N20" s="399"/>
      <c r="O20" s="399"/>
      <c r="P20" s="399"/>
      <c r="Q20" s="345"/>
      <c r="R20" s="398">
        <f t="shared" si="7"/>
        <v>25.5</v>
      </c>
      <c r="S20" s="398">
        <f t="shared" si="8"/>
        <v>106.1</v>
      </c>
      <c r="T20" s="398">
        <f t="shared" si="2"/>
        <v>131.6</v>
      </c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45"/>
      <c r="AG20" s="345"/>
      <c r="AH20" s="345"/>
      <c r="AI20" s="345"/>
      <c r="AJ20" s="345"/>
      <c r="AK20" s="345"/>
      <c r="AL20" s="345"/>
      <c r="AM20" s="345"/>
      <c r="AN20" s="345"/>
      <c r="AO20" s="345"/>
      <c r="AP20" s="345"/>
      <c r="AQ20" s="345"/>
      <c r="AR20" s="345"/>
      <c r="AS20" s="345"/>
      <c r="AT20" s="345"/>
      <c r="AU20" s="345"/>
      <c r="AV20" s="345"/>
      <c r="AW20" s="345"/>
      <c r="AX20" s="345"/>
      <c r="AY20" s="345"/>
      <c r="AZ20" s="345"/>
      <c r="BA20" s="345"/>
      <c r="BB20" s="345"/>
      <c r="BC20" s="345"/>
      <c r="BD20" s="345"/>
      <c r="BE20" s="345"/>
      <c r="BF20" s="345"/>
      <c r="BG20" s="345"/>
      <c r="BH20" s="345"/>
    </row>
    <row r="21" spans="1:83" s="268" customFormat="1" x14ac:dyDescent="0.35">
      <c r="A21" s="345"/>
      <c r="B21" s="395">
        <f t="shared" si="6"/>
        <v>14.66</v>
      </c>
      <c r="C21" s="396">
        <f t="shared" si="3"/>
        <v>23</v>
      </c>
      <c r="D21" s="396">
        <f t="shared" si="4"/>
        <v>113</v>
      </c>
      <c r="E21" s="397">
        <f t="shared" si="5"/>
        <v>136</v>
      </c>
      <c r="F21" s="398"/>
      <c r="G21" s="345"/>
      <c r="H21" s="345"/>
      <c r="I21" s="345"/>
      <c r="J21" s="345"/>
      <c r="K21" s="400"/>
      <c r="L21" s="401"/>
      <c r="M21" s="401"/>
      <c r="N21" s="401"/>
      <c r="O21" s="401"/>
      <c r="P21" s="401"/>
      <c r="Q21" s="345"/>
      <c r="R21" s="398">
        <f t="shared" si="7"/>
        <v>23.3</v>
      </c>
      <c r="S21" s="398">
        <f t="shared" si="8"/>
        <v>113</v>
      </c>
      <c r="T21" s="398">
        <f t="shared" si="2"/>
        <v>136.30000000000001</v>
      </c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45"/>
      <c r="AG21" s="345"/>
      <c r="AH21" s="345"/>
      <c r="AI21" s="345"/>
      <c r="AJ21" s="345"/>
      <c r="AK21" s="345"/>
      <c r="AL21" s="345"/>
      <c r="AM21" s="345"/>
      <c r="AN21" s="345"/>
      <c r="AO21" s="345"/>
      <c r="AP21" s="345"/>
      <c r="AQ21" s="345"/>
      <c r="AR21" s="345"/>
      <c r="AS21" s="345"/>
      <c r="AT21" s="345"/>
      <c r="AU21" s="345"/>
      <c r="AV21" s="345"/>
      <c r="AW21" s="345"/>
      <c r="AX21" s="345"/>
      <c r="AY21" s="345"/>
      <c r="AZ21" s="345"/>
      <c r="BA21" s="345"/>
      <c r="BB21" s="402"/>
      <c r="BC21" s="345"/>
      <c r="BD21" s="345"/>
      <c r="BE21" s="345"/>
      <c r="BF21" s="345"/>
      <c r="BG21" s="345"/>
      <c r="BH21" s="345"/>
    </row>
    <row r="22" spans="1:83" s="268" customFormat="1" x14ac:dyDescent="0.35">
      <c r="A22" s="345"/>
      <c r="B22" s="395">
        <f t="shared" si="6"/>
        <v>15.16</v>
      </c>
      <c r="C22" s="396">
        <f t="shared" si="3"/>
        <v>21</v>
      </c>
      <c r="D22" s="396">
        <f t="shared" si="4"/>
        <v>120</v>
      </c>
      <c r="E22" s="397">
        <f t="shared" si="5"/>
        <v>141</v>
      </c>
      <c r="F22" s="398"/>
      <c r="G22" s="345"/>
      <c r="H22" s="345"/>
      <c r="I22" s="345"/>
      <c r="J22" s="345"/>
      <c r="K22" s="399"/>
      <c r="L22" s="399"/>
      <c r="M22" s="399"/>
      <c r="N22" s="399"/>
      <c r="O22" s="399"/>
      <c r="P22" s="399"/>
      <c r="Q22" s="345"/>
      <c r="R22" s="398">
        <f t="shared" si="7"/>
        <v>21</v>
      </c>
      <c r="S22" s="398">
        <f t="shared" si="8"/>
        <v>119.9</v>
      </c>
      <c r="T22" s="398">
        <f t="shared" si="2"/>
        <v>140.9</v>
      </c>
      <c r="U22" s="345"/>
      <c r="V22" s="345"/>
      <c r="W22" s="345"/>
      <c r="X22" s="345"/>
      <c r="Y22" s="345"/>
      <c r="Z22" s="345"/>
      <c r="AA22" s="345"/>
      <c r="AB22" s="345"/>
      <c r="AC22" s="345"/>
      <c r="AD22" s="345"/>
      <c r="AE22" s="345"/>
      <c r="AF22" s="345"/>
      <c r="AG22" s="345"/>
      <c r="AH22" s="345"/>
      <c r="AI22" s="345"/>
      <c r="AJ22" s="345"/>
      <c r="AK22" s="345"/>
      <c r="AL22" s="345"/>
      <c r="AM22" s="345"/>
      <c r="AN22" s="345"/>
      <c r="AO22" s="345"/>
      <c r="AP22" s="345"/>
      <c r="AQ22" s="345"/>
      <c r="AR22" s="345"/>
      <c r="AS22" s="345"/>
      <c r="AT22" s="345"/>
      <c r="AU22" s="345"/>
      <c r="AV22" s="345"/>
      <c r="AW22" s="345"/>
      <c r="AX22" s="345"/>
      <c r="AY22" s="345"/>
      <c r="AZ22" s="345"/>
      <c r="BA22" s="345"/>
      <c r="BB22" s="345"/>
      <c r="BC22" s="345"/>
      <c r="BD22" s="345"/>
      <c r="BE22" s="345"/>
      <c r="BF22" s="345"/>
      <c r="BG22" s="345"/>
      <c r="BH22" s="345"/>
    </row>
    <row r="23" spans="1:83" s="268" customFormat="1" x14ac:dyDescent="0.35">
      <c r="B23" s="366">
        <f t="shared" si="6"/>
        <v>15.66</v>
      </c>
      <c r="C23" s="361">
        <f t="shared" si="3"/>
        <v>19</v>
      </c>
      <c r="D23" s="361">
        <f t="shared" si="4"/>
        <v>127</v>
      </c>
      <c r="E23" s="354">
        <f t="shared" si="5"/>
        <v>146</v>
      </c>
      <c r="F23" s="362"/>
      <c r="G23" s="266"/>
      <c r="H23" s="266"/>
      <c r="I23" s="266"/>
      <c r="J23" s="266"/>
      <c r="K23" s="298"/>
      <c r="L23" s="298"/>
      <c r="M23" s="298"/>
      <c r="N23" s="298"/>
      <c r="O23" s="298"/>
      <c r="P23" s="298"/>
      <c r="Q23" s="266"/>
      <c r="R23" s="362">
        <f t="shared" si="7"/>
        <v>18.8</v>
      </c>
      <c r="S23" s="362">
        <f t="shared" si="8"/>
        <v>126.8</v>
      </c>
      <c r="T23" s="362">
        <f t="shared" si="2"/>
        <v>145.6</v>
      </c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BA23" s="385"/>
      <c r="BB23" s="403"/>
      <c r="BC23" s="403"/>
      <c r="BD23" s="403"/>
    </row>
    <row r="24" spans="1:83" s="268" customFormat="1" x14ac:dyDescent="0.35">
      <c r="B24" s="366">
        <f t="shared" si="6"/>
        <v>16.16</v>
      </c>
      <c r="C24" s="361">
        <f t="shared" si="3"/>
        <v>17</v>
      </c>
      <c r="D24" s="361">
        <f t="shared" si="4"/>
        <v>134</v>
      </c>
      <c r="E24" s="354">
        <f t="shared" si="5"/>
        <v>151</v>
      </c>
      <c r="F24" s="362"/>
      <c r="G24" s="266"/>
      <c r="H24" s="266"/>
      <c r="I24" s="266"/>
      <c r="J24" s="266"/>
      <c r="K24" s="284"/>
      <c r="L24" s="298"/>
      <c r="M24" s="298"/>
      <c r="N24" s="298"/>
      <c r="O24" s="285"/>
      <c r="P24" s="298"/>
      <c r="Q24" s="266"/>
      <c r="R24" s="362">
        <f t="shared" si="7"/>
        <v>16.5</v>
      </c>
      <c r="S24" s="362">
        <f t="shared" si="8"/>
        <v>133.69999999999999</v>
      </c>
      <c r="T24" s="362">
        <f t="shared" si="2"/>
        <v>150.19999999999999</v>
      </c>
      <c r="U24" s="266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BA24" s="404" t="s">
        <v>90</v>
      </c>
      <c r="BB24" s="405"/>
      <c r="BC24" s="405"/>
      <c r="BD24" s="405"/>
      <c r="BE24" s="406"/>
      <c r="BF24" s="406"/>
      <c r="BG24" s="406"/>
    </row>
    <row r="25" spans="1:83" s="268" customFormat="1" x14ac:dyDescent="0.35">
      <c r="B25" s="366">
        <f t="shared" si="6"/>
        <v>16.66</v>
      </c>
      <c r="C25" s="361">
        <f t="shared" si="3"/>
        <v>14</v>
      </c>
      <c r="D25" s="361">
        <f t="shared" si="4"/>
        <v>141</v>
      </c>
      <c r="E25" s="354">
        <f t="shared" si="5"/>
        <v>155</v>
      </c>
      <c r="F25" s="362"/>
      <c r="G25" s="266"/>
      <c r="H25" s="266"/>
      <c r="I25" s="266"/>
      <c r="J25" s="266"/>
      <c r="K25" s="298"/>
      <c r="L25" s="298"/>
      <c r="M25" s="298"/>
      <c r="N25" s="298"/>
      <c r="O25" s="298"/>
      <c r="P25" s="298"/>
      <c r="Q25" s="266"/>
      <c r="R25" s="362">
        <f t="shared" si="7"/>
        <v>14.3</v>
      </c>
      <c r="S25" s="362">
        <f t="shared" si="8"/>
        <v>140.6</v>
      </c>
      <c r="T25" s="362">
        <f t="shared" si="2"/>
        <v>154.9</v>
      </c>
      <c r="U25" s="266"/>
      <c r="V25" s="266"/>
      <c r="W25" s="266"/>
      <c r="X25" s="266"/>
      <c r="Y25" s="266"/>
      <c r="Z25" s="266"/>
      <c r="AA25" s="266"/>
      <c r="AB25" s="266"/>
      <c r="AC25" s="266"/>
      <c r="AD25" s="266"/>
      <c r="AE25" s="266"/>
      <c r="BA25" s="385"/>
      <c r="BB25" s="345"/>
      <c r="BC25" s="345"/>
      <c r="BD25" s="345"/>
      <c r="BE25" s="345"/>
      <c r="BF25" s="345"/>
      <c r="BG25" s="345"/>
      <c r="BH25" s="345"/>
      <c r="BI25" s="345"/>
      <c r="BJ25" s="345"/>
      <c r="BK25" s="345"/>
      <c r="BL25" s="345"/>
      <c r="BM25" s="345"/>
      <c r="BN25" s="345"/>
      <c r="BO25" s="345"/>
      <c r="BP25" s="345"/>
      <c r="BQ25" s="345"/>
      <c r="BR25" s="345"/>
      <c r="BS25" s="345"/>
      <c r="BT25" s="345"/>
      <c r="BU25" s="345"/>
      <c r="BV25" s="345"/>
      <c r="BW25" s="345"/>
      <c r="BX25" s="345"/>
      <c r="BY25" s="345"/>
      <c r="BZ25" s="345"/>
      <c r="CA25" s="345"/>
      <c r="CB25" s="345"/>
      <c r="CC25" s="345"/>
      <c r="CD25" s="345"/>
      <c r="CE25" s="345"/>
    </row>
    <row r="26" spans="1:83" s="268" customFormat="1" x14ac:dyDescent="0.35">
      <c r="B26" s="366">
        <f t="shared" si="6"/>
        <v>17.16</v>
      </c>
      <c r="C26" s="361">
        <f t="shared" si="3"/>
        <v>12</v>
      </c>
      <c r="D26" s="361">
        <f t="shared" si="4"/>
        <v>148</v>
      </c>
      <c r="E26" s="354">
        <f t="shared" si="5"/>
        <v>160</v>
      </c>
      <c r="F26" s="362"/>
      <c r="G26" s="266"/>
      <c r="H26" s="266"/>
      <c r="I26" s="266"/>
      <c r="J26" s="266"/>
      <c r="K26" s="298"/>
      <c r="L26" s="298"/>
      <c r="M26" s="298"/>
      <c r="N26" s="298"/>
      <c r="O26" s="298"/>
      <c r="P26" s="298"/>
      <c r="Q26" s="266"/>
      <c r="R26" s="362">
        <f t="shared" si="7"/>
        <v>12</v>
      </c>
      <c r="S26" s="362">
        <f t="shared" si="8"/>
        <v>147.5</v>
      </c>
      <c r="T26" s="362">
        <f t="shared" si="2"/>
        <v>159.5</v>
      </c>
      <c r="U26" s="266"/>
      <c r="V26" s="266"/>
      <c r="W26" s="266"/>
      <c r="X26" s="266"/>
      <c r="Y26" s="266"/>
      <c r="Z26" s="266"/>
      <c r="AA26" s="266"/>
      <c r="AB26" s="266"/>
      <c r="AC26" s="266"/>
      <c r="AD26" s="266"/>
      <c r="AE26" s="266"/>
      <c r="BA26" s="404" t="s">
        <v>91</v>
      </c>
      <c r="BB26" s="407">
        <f ca="1">NOW()</f>
        <v>44167.497265740742</v>
      </c>
      <c r="BC26" s="408"/>
      <c r="BD26" s="345"/>
      <c r="BE26" s="345"/>
      <c r="BF26" s="345"/>
      <c r="BG26" s="345"/>
      <c r="BH26" s="345"/>
      <c r="BI26" s="345"/>
      <c r="BJ26" s="345"/>
      <c r="BK26" s="345"/>
      <c r="BL26" s="345"/>
      <c r="BM26" s="345"/>
      <c r="BN26" s="345"/>
      <c r="BO26" s="345"/>
      <c r="BP26" s="345"/>
      <c r="BQ26" s="345"/>
      <c r="BR26" s="345"/>
      <c r="BS26" s="345"/>
      <c r="BT26" s="345"/>
      <c r="BU26" s="345"/>
      <c r="BV26" s="345"/>
      <c r="BW26" s="345"/>
      <c r="BX26" s="345"/>
      <c r="BY26" s="345"/>
      <c r="BZ26" s="345"/>
      <c r="CA26" s="345"/>
      <c r="CB26" s="345"/>
      <c r="CC26" s="345"/>
      <c r="CD26" s="345"/>
      <c r="CE26" s="345"/>
    </row>
    <row r="27" spans="1:83" s="268" customFormat="1" x14ac:dyDescent="0.35">
      <c r="B27" s="366">
        <f t="shared" si="6"/>
        <v>17.66</v>
      </c>
      <c r="C27" s="361">
        <f t="shared" si="3"/>
        <v>10</v>
      </c>
      <c r="D27" s="361">
        <f t="shared" si="4"/>
        <v>155</v>
      </c>
      <c r="E27" s="354">
        <f t="shared" si="5"/>
        <v>165</v>
      </c>
      <c r="F27" s="362"/>
      <c r="G27" s="266"/>
      <c r="H27" s="266"/>
      <c r="I27" s="266"/>
      <c r="J27" s="266"/>
      <c r="K27" s="298"/>
      <c r="L27" s="298"/>
      <c r="M27" s="298"/>
      <c r="N27" s="298"/>
      <c r="O27" s="298"/>
      <c r="P27" s="298"/>
      <c r="Q27" s="266"/>
      <c r="R27" s="362">
        <f t="shared" si="7"/>
        <v>9.8000000000000007</v>
      </c>
      <c r="S27" s="362">
        <f t="shared" si="8"/>
        <v>154.4</v>
      </c>
      <c r="T27" s="362">
        <f t="shared" si="2"/>
        <v>164.20000000000002</v>
      </c>
      <c r="U27" s="266"/>
      <c r="V27" s="266"/>
      <c r="W27" s="266"/>
      <c r="X27" s="266"/>
      <c r="Y27" s="266"/>
      <c r="Z27" s="266"/>
      <c r="AA27" s="266"/>
      <c r="AB27" s="266"/>
      <c r="AC27" s="266"/>
      <c r="AD27" s="266"/>
      <c r="AE27" s="266"/>
      <c r="BA27" s="385"/>
      <c r="BB27" s="345"/>
      <c r="BC27" s="345"/>
      <c r="BD27" s="345"/>
      <c r="BE27" s="345"/>
      <c r="BF27" s="345"/>
      <c r="BG27" s="345"/>
      <c r="BH27" s="345"/>
      <c r="BI27" s="345"/>
      <c r="BJ27" s="345"/>
      <c r="BK27" s="345"/>
      <c r="BL27" s="345"/>
      <c r="BM27" s="345"/>
      <c r="BN27" s="345"/>
      <c r="BO27" s="345"/>
      <c r="BP27" s="345"/>
      <c r="BQ27" s="345"/>
      <c r="BR27" s="345"/>
      <c r="BS27" s="345"/>
      <c r="BT27" s="345"/>
      <c r="BU27" s="345"/>
      <c r="BV27" s="345"/>
      <c r="BW27" s="345"/>
      <c r="BX27" s="345"/>
      <c r="BY27" s="345"/>
      <c r="BZ27" s="345"/>
      <c r="CA27" s="345"/>
      <c r="CB27" s="345"/>
      <c r="CC27" s="345"/>
      <c r="CD27" s="345"/>
      <c r="CE27" s="345"/>
    </row>
    <row r="28" spans="1:83" s="268" customFormat="1" x14ac:dyDescent="0.35">
      <c r="B28" s="366">
        <f t="shared" si="6"/>
        <v>18.16</v>
      </c>
      <c r="C28" s="361">
        <f t="shared" si="3"/>
        <v>8</v>
      </c>
      <c r="D28" s="361">
        <f t="shared" si="4"/>
        <v>161</v>
      </c>
      <c r="E28" s="354">
        <f t="shared" si="5"/>
        <v>169</v>
      </c>
      <c r="F28" s="362"/>
      <c r="G28" s="266"/>
      <c r="H28" s="266"/>
      <c r="I28" s="266"/>
      <c r="J28" s="266"/>
      <c r="K28" s="298"/>
      <c r="L28" s="298"/>
      <c r="M28" s="298"/>
      <c r="N28" s="298"/>
      <c r="O28" s="298"/>
      <c r="P28" s="298"/>
      <c r="Q28" s="266"/>
      <c r="R28" s="362">
        <f t="shared" si="7"/>
        <v>7.5</v>
      </c>
      <c r="S28" s="362">
        <f t="shared" si="8"/>
        <v>161.30000000000001</v>
      </c>
      <c r="T28" s="362">
        <f t="shared" si="2"/>
        <v>168.8</v>
      </c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BA28" s="345"/>
      <c r="BB28" s="345"/>
      <c r="BC28" s="345"/>
      <c r="BD28" s="345"/>
      <c r="BE28" s="345"/>
      <c r="BF28" s="345"/>
      <c r="BG28" s="345"/>
      <c r="BH28" s="345"/>
      <c r="BI28" s="345"/>
      <c r="BJ28" s="345"/>
      <c r="BK28" s="345"/>
      <c r="BL28" s="345"/>
      <c r="BM28" s="345"/>
      <c r="BN28" s="345"/>
      <c r="BO28" s="345"/>
      <c r="BP28" s="345"/>
      <c r="BQ28" s="345"/>
      <c r="BR28" s="345"/>
      <c r="BS28" s="345"/>
      <c r="BT28" s="345"/>
      <c r="BU28" s="345"/>
      <c r="BV28" s="345"/>
      <c r="BW28" s="345"/>
      <c r="BX28" s="345"/>
      <c r="BY28" s="345"/>
      <c r="BZ28" s="345"/>
      <c r="CA28" s="345"/>
      <c r="CB28" s="345"/>
      <c r="CC28" s="345"/>
      <c r="CD28" s="345"/>
      <c r="CE28" s="345"/>
    </row>
    <row r="29" spans="1:83" s="268" customFormat="1" x14ac:dyDescent="0.35">
      <c r="B29" s="366">
        <f t="shared" si="6"/>
        <v>18.66</v>
      </c>
      <c r="C29" s="361">
        <f t="shared" si="3"/>
        <v>5</v>
      </c>
      <c r="D29" s="361">
        <f t="shared" si="4"/>
        <v>168</v>
      </c>
      <c r="E29" s="354">
        <f t="shared" si="5"/>
        <v>173</v>
      </c>
      <c r="F29" s="362"/>
      <c r="G29" s="266"/>
      <c r="H29" s="266"/>
      <c r="I29" s="266"/>
      <c r="J29" s="266"/>
      <c r="K29" s="298"/>
      <c r="L29" s="298"/>
      <c r="M29" s="298"/>
      <c r="N29" s="298"/>
      <c r="O29" s="298"/>
      <c r="P29" s="298"/>
      <c r="Q29" s="266"/>
      <c r="R29" s="362">
        <f t="shared" si="7"/>
        <v>5.3</v>
      </c>
      <c r="S29" s="362">
        <f t="shared" si="8"/>
        <v>168.2</v>
      </c>
      <c r="T29" s="362">
        <f t="shared" si="2"/>
        <v>173.5</v>
      </c>
      <c r="U29" s="266"/>
      <c r="V29" s="266"/>
      <c r="W29" s="266"/>
      <c r="X29" s="266"/>
      <c r="Y29" s="266"/>
      <c r="Z29" s="266"/>
      <c r="AA29" s="266"/>
      <c r="AB29" s="266"/>
      <c r="AC29" s="266"/>
      <c r="AD29" s="266"/>
      <c r="AE29" s="266"/>
      <c r="BA29" s="409" t="str">
        <f t="array" ref="BA29:BD31">RATIO!$P$5:$S$7</f>
        <v>DIAMETER (METER)</v>
      </c>
      <c r="BB29" s="409">
        <v>0</v>
      </c>
      <c r="BC29" s="410">
        <v>1973.1249916095478</v>
      </c>
      <c r="BD29" s="410">
        <v>6043.5444438213954</v>
      </c>
    </row>
    <row r="30" spans="1:83" s="268" customFormat="1" x14ac:dyDescent="0.35">
      <c r="B30" s="366">
        <f t="shared" si="6"/>
        <v>19.16</v>
      </c>
      <c r="C30" s="361">
        <f t="shared" ref="C30:C45" si="9">ROUND($R30+0.105,0)</f>
        <v>3</v>
      </c>
      <c r="D30" s="361">
        <f t="shared" ref="D30:D45" si="10">ROUND($S30+0.105,0)</f>
        <v>175</v>
      </c>
      <c r="E30" s="354">
        <f t="shared" si="5"/>
        <v>178</v>
      </c>
      <c r="F30" s="362"/>
      <c r="G30" s="266"/>
      <c r="H30" s="266"/>
      <c r="I30" s="266"/>
      <c r="J30" s="266"/>
      <c r="K30" s="298"/>
      <c r="L30" s="298"/>
      <c r="M30" s="298"/>
      <c r="N30" s="298"/>
      <c r="O30" s="298"/>
      <c r="P30" s="298"/>
      <c r="Q30" s="266"/>
      <c r="R30" s="362">
        <f t="shared" si="7"/>
        <v>3</v>
      </c>
      <c r="S30" s="362">
        <f t="shared" si="8"/>
        <v>175.1</v>
      </c>
      <c r="T30" s="362">
        <f t="shared" si="2"/>
        <v>178.1</v>
      </c>
      <c r="U30" s="266"/>
      <c r="V30" s="266"/>
      <c r="W30" s="266"/>
      <c r="X30" s="266"/>
      <c r="Y30" s="266"/>
      <c r="Z30" s="266"/>
      <c r="AA30" s="266"/>
      <c r="AB30" s="266"/>
      <c r="AC30" s="266"/>
      <c r="AD30" s="266"/>
      <c r="AE30" s="266"/>
      <c r="BA30" s="409" t="str">
        <v>PCS / RING</v>
      </c>
      <c r="BB30" s="409">
        <v>0</v>
      </c>
      <c r="BC30" s="410">
        <v>60.154733415788499</v>
      </c>
      <c r="BD30" s="410">
        <v>184.32461758606775</v>
      </c>
    </row>
    <row r="31" spans="1:83" s="268" customFormat="1" x14ac:dyDescent="0.35">
      <c r="B31" s="366">
        <f t="shared" ref="B31:B46" si="11">B30+E$5/12</f>
        <v>19.66</v>
      </c>
      <c r="C31" s="361">
        <f t="shared" si="9"/>
        <v>1</v>
      </c>
      <c r="D31" s="361">
        <f t="shared" si="10"/>
        <v>182</v>
      </c>
      <c r="E31" s="354">
        <f t="shared" si="5"/>
        <v>183</v>
      </c>
      <c r="F31" s="362"/>
      <c r="G31" s="266"/>
      <c r="H31" s="266"/>
      <c r="I31" s="266"/>
      <c r="J31" s="266"/>
      <c r="K31" s="298"/>
      <c r="L31" s="298"/>
      <c r="M31" s="298"/>
      <c r="N31" s="298"/>
      <c r="O31" s="298"/>
      <c r="P31" s="298"/>
      <c r="Q31" s="266"/>
      <c r="R31" s="362">
        <f t="shared" si="7"/>
        <v>0.8</v>
      </c>
      <c r="S31" s="362">
        <f t="shared" si="8"/>
        <v>182</v>
      </c>
      <c r="T31" s="362">
        <f t="shared" si="2"/>
        <v>182.8</v>
      </c>
      <c r="U31" s="266"/>
      <c r="V31" s="266"/>
      <c r="W31" s="266"/>
      <c r="X31" s="266"/>
      <c r="Y31" s="266"/>
      <c r="Z31" s="266"/>
      <c r="AA31" s="266"/>
      <c r="AB31" s="266"/>
      <c r="AC31" s="266"/>
      <c r="AD31" s="266"/>
      <c r="AE31" s="266"/>
      <c r="BA31" s="409" t="str">
        <v>DIAMETER (FT)</v>
      </c>
      <c r="BB31" s="409">
        <v>0</v>
      </c>
      <c r="BC31" s="410">
        <v>6.4735071903200385</v>
      </c>
      <c r="BD31" s="410">
        <v>19.827901718574132</v>
      </c>
    </row>
    <row r="32" spans="1:83" s="268" customFormat="1" x14ac:dyDescent="0.35">
      <c r="B32" s="366">
        <f t="shared" si="11"/>
        <v>20.16</v>
      </c>
      <c r="C32" s="361">
        <f t="shared" si="9"/>
        <v>-1</v>
      </c>
      <c r="D32" s="361">
        <f t="shared" si="10"/>
        <v>189</v>
      </c>
      <c r="E32" s="354">
        <f t="shared" si="5"/>
        <v>188</v>
      </c>
      <c r="F32" s="362"/>
      <c r="G32" s="266"/>
      <c r="H32" s="266"/>
      <c r="I32" s="266"/>
      <c r="J32" s="266"/>
      <c r="K32" s="298"/>
      <c r="L32" s="298"/>
      <c r="M32" s="298"/>
      <c r="N32" s="298"/>
      <c r="O32" s="298"/>
      <c r="P32" s="298"/>
      <c r="Q32" s="266"/>
      <c r="R32" s="362">
        <f t="shared" si="7"/>
        <v>-1.5</v>
      </c>
      <c r="S32" s="362">
        <f t="shared" si="8"/>
        <v>188.9</v>
      </c>
      <c r="T32" s="362">
        <f t="shared" si="2"/>
        <v>187.4</v>
      </c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</row>
    <row r="33" spans="2:31" s="268" customFormat="1" x14ac:dyDescent="0.35">
      <c r="B33" s="366">
        <f t="shared" si="11"/>
        <v>20.66</v>
      </c>
      <c r="C33" s="361">
        <f t="shared" si="9"/>
        <v>-4</v>
      </c>
      <c r="D33" s="361">
        <f t="shared" si="10"/>
        <v>196</v>
      </c>
      <c r="E33" s="354">
        <f t="shared" si="5"/>
        <v>192</v>
      </c>
      <c r="F33" s="362"/>
      <c r="G33" s="266"/>
      <c r="H33" s="266"/>
      <c r="I33" s="266"/>
      <c r="J33" s="266"/>
      <c r="K33" s="298"/>
      <c r="L33" s="298"/>
      <c r="M33" s="298"/>
      <c r="N33" s="298"/>
      <c r="O33" s="298"/>
      <c r="P33" s="298"/>
      <c r="Q33" s="266"/>
      <c r="R33" s="362">
        <f t="shared" si="7"/>
        <v>-3.7</v>
      </c>
      <c r="S33" s="362">
        <f t="shared" si="8"/>
        <v>195.8</v>
      </c>
      <c r="T33" s="362">
        <f t="shared" si="2"/>
        <v>192.10000000000002</v>
      </c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</row>
    <row r="34" spans="2:31" s="268" customFormat="1" x14ac:dyDescent="0.35">
      <c r="B34" s="366">
        <f t="shared" si="11"/>
        <v>21.16</v>
      </c>
      <c r="C34" s="361">
        <f t="shared" si="9"/>
        <v>-6</v>
      </c>
      <c r="D34" s="361">
        <f t="shared" si="10"/>
        <v>203</v>
      </c>
      <c r="E34" s="354">
        <f t="shared" si="5"/>
        <v>197</v>
      </c>
      <c r="F34" s="362"/>
      <c r="G34" s="266"/>
      <c r="H34" s="266"/>
      <c r="I34" s="266"/>
      <c r="J34" s="266"/>
      <c r="K34" s="266"/>
      <c r="L34" s="266"/>
      <c r="M34" s="266"/>
      <c r="N34" s="266"/>
      <c r="O34" s="266"/>
      <c r="P34" s="266"/>
      <c r="Q34" s="266"/>
      <c r="R34" s="362">
        <f t="shared" si="7"/>
        <v>-6</v>
      </c>
      <c r="S34" s="362">
        <f t="shared" si="8"/>
        <v>202.7</v>
      </c>
      <c r="T34" s="362">
        <f t="shared" si="2"/>
        <v>196.7</v>
      </c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</row>
    <row r="35" spans="2:31" x14ac:dyDescent="0.35">
      <c r="B35" s="16">
        <f t="shared" si="11"/>
        <v>21.66</v>
      </c>
      <c r="C35" s="15">
        <f t="shared" si="9"/>
        <v>-8</v>
      </c>
      <c r="D35" s="15">
        <f t="shared" si="10"/>
        <v>210</v>
      </c>
      <c r="E35" s="14">
        <f t="shared" si="5"/>
        <v>202</v>
      </c>
      <c r="F35" s="2"/>
      <c r="R35" s="2">
        <f t="shared" ref="R35:R50" si="12">ROUND((S$5-304.8*$B35)/(S$5-R$5)*R$6,1)</f>
        <v>-8.3000000000000007</v>
      </c>
      <c r="S35" s="2">
        <f t="shared" ref="S35:S50" si="13">ROUND((304.8*$B35-R$5)/(S$5-R$5)*S$6,1)</f>
        <v>209.6</v>
      </c>
      <c r="T35" s="2">
        <f t="shared" si="2"/>
        <v>201.29999999999998</v>
      </c>
    </row>
    <row r="36" spans="2:31" x14ac:dyDescent="0.35">
      <c r="B36" s="16">
        <f t="shared" si="11"/>
        <v>22.16</v>
      </c>
      <c r="C36" s="15">
        <f t="shared" si="9"/>
        <v>-10</v>
      </c>
      <c r="D36" s="15">
        <f t="shared" si="10"/>
        <v>217</v>
      </c>
      <c r="E36" s="14">
        <f t="shared" si="5"/>
        <v>207</v>
      </c>
      <c r="F36" s="2"/>
      <c r="R36" s="2">
        <f t="shared" si="12"/>
        <v>-10.5</v>
      </c>
      <c r="S36" s="2">
        <f t="shared" si="13"/>
        <v>216.5</v>
      </c>
      <c r="T36" s="2">
        <f t="shared" si="2"/>
        <v>206</v>
      </c>
    </row>
    <row r="37" spans="2:31" x14ac:dyDescent="0.35">
      <c r="B37" s="16">
        <f t="shared" si="11"/>
        <v>22.66</v>
      </c>
      <c r="C37" s="15">
        <f t="shared" si="9"/>
        <v>-13</v>
      </c>
      <c r="D37" s="15">
        <f t="shared" si="10"/>
        <v>224</v>
      </c>
      <c r="E37" s="14">
        <f t="shared" si="5"/>
        <v>211</v>
      </c>
      <c r="F37" s="2"/>
      <c r="R37" s="2">
        <f t="shared" si="12"/>
        <v>-12.8</v>
      </c>
      <c r="S37" s="2">
        <f t="shared" si="13"/>
        <v>223.4</v>
      </c>
      <c r="T37" s="2">
        <f t="shared" si="2"/>
        <v>210.6</v>
      </c>
    </row>
    <row r="38" spans="2:31" x14ac:dyDescent="0.35">
      <c r="B38" s="16">
        <f t="shared" si="11"/>
        <v>23.16</v>
      </c>
      <c r="C38" s="15">
        <f t="shared" si="9"/>
        <v>-15</v>
      </c>
      <c r="D38" s="15">
        <f t="shared" si="10"/>
        <v>230</v>
      </c>
      <c r="E38" s="14">
        <f t="shared" si="5"/>
        <v>215</v>
      </c>
      <c r="F38" s="2"/>
      <c r="R38" s="2">
        <f t="shared" si="12"/>
        <v>-15</v>
      </c>
      <c r="S38" s="2">
        <f t="shared" si="13"/>
        <v>230.3</v>
      </c>
      <c r="T38" s="2">
        <f t="shared" si="2"/>
        <v>215.3</v>
      </c>
    </row>
    <row r="39" spans="2:31" x14ac:dyDescent="0.35">
      <c r="B39" s="16">
        <f t="shared" si="11"/>
        <v>23.66</v>
      </c>
      <c r="C39" s="15">
        <f t="shared" si="9"/>
        <v>-17</v>
      </c>
      <c r="D39" s="15">
        <f t="shared" si="10"/>
        <v>237</v>
      </c>
      <c r="E39" s="14">
        <f t="shared" si="5"/>
        <v>220</v>
      </c>
      <c r="F39" s="2"/>
      <c r="R39" s="2">
        <f t="shared" si="12"/>
        <v>-17.3</v>
      </c>
      <c r="S39" s="2">
        <f t="shared" si="13"/>
        <v>237.2</v>
      </c>
      <c r="T39" s="2">
        <f t="shared" si="2"/>
        <v>219.89999999999998</v>
      </c>
    </row>
    <row r="40" spans="2:31" x14ac:dyDescent="0.35">
      <c r="B40" s="16">
        <f t="shared" si="11"/>
        <v>24.16</v>
      </c>
      <c r="C40" s="15">
        <f t="shared" si="9"/>
        <v>-19</v>
      </c>
      <c r="D40" s="15">
        <f t="shared" si="10"/>
        <v>244</v>
      </c>
      <c r="E40" s="14">
        <f t="shared" si="5"/>
        <v>225</v>
      </c>
      <c r="F40" s="2"/>
      <c r="R40" s="2">
        <f t="shared" si="12"/>
        <v>-19.5</v>
      </c>
      <c r="S40" s="2">
        <f t="shared" si="13"/>
        <v>244.1</v>
      </c>
      <c r="T40" s="2">
        <f t="shared" si="2"/>
        <v>224.6</v>
      </c>
    </row>
    <row r="41" spans="2:31" x14ac:dyDescent="0.35">
      <c r="B41" s="16">
        <f t="shared" si="11"/>
        <v>24.66</v>
      </c>
      <c r="C41" s="15">
        <f t="shared" si="9"/>
        <v>-22</v>
      </c>
      <c r="D41" s="15">
        <f t="shared" si="10"/>
        <v>251</v>
      </c>
      <c r="E41" s="14">
        <f t="shared" si="5"/>
        <v>229</v>
      </c>
      <c r="F41" s="2"/>
      <c r="R41" s="2">
        <f t="shared" si="12"/>
        <v>-21.8</v>
      </c>
      <c r="S41" s="2">
        <f t="shared" si="13"/>
        <v>251</v>
      </c>
      <c r="T41" s="2">
        <f t="shared" si="2"/>
        <v>229.2</v>
      </c>
    </row>
    <row r="42" spans="2:31" x14ac:dyDescent="0.35">
      <c r="B42" s="16">
        <f t="shared" si="11"/>
        <v>25.16</v>
      </c>
      <c r="C42" s="15">
        <f t="shared" si="9"/>
        <v>-24</v>
      </c>
      <c r="D42" s="15">
        <f t="shared" si="10"/>
        <v>258</v>
      </c>
      <c r="E42" s="14">
        <f t="shared" si="5"/>
        <v>234</v>
      </c>
      <c r="F42" s="2"/>
      <c r="R42" s="2">
        <f t="shared" si="12"/>
        <v>-24</v>
      </c>
      <c r="S42" s="2">
        <f t="shared" si="13"/>
        <v>257.89999999999998</v>
      </c>
      <c r="T42" s="2">
        <f t="shared" si="2"/>
        <v>233.89999999999998</v>
      </c>
    </row>
    <row r="43" spans="2:31" x14ac:dyDescent="0.35">
      <c r="B43" s="16">
        <f t="shared" si="11"/>
        <v>25.66</v>
      </c>
      <c r="C43" s="15">
        <f t="shared" si="9"/>
        <v>-26</v>
      </c>
      <c r="D43" s="15">
        <f t="shared" si="10"/>
        <v>265</v>
      </c>
      <c r="E43" s="14">
        <f t="shared" si="5"/>
        <v>239</v>
      </c>
      <c r="F43" s="2"/>
      <c r="R43" s="2">
        <f t="shared" si="12"/>
        <v>-26.3</v>
      </c>
      <c r="S43" s="2">
        <f t="shared" si="13"/>
        <v>264.8</v>
      </c>
      <c r="T43" s="2">
        <f t="shared" si="2"/>
        <v>238.5</v>
      </c>
    </row>
    <row r="44" spans="2:31" x14ac:dyDescent="0.35">
      <c r="B44" s="16">
        <f t="shared" si="11"/>
        <v>26.16</v>
      </c>
      <c r="C44" s="15">
        <f t="shared" si="9"/>
        <v>-28</v>
      </c>
      <c r="D44" s="15">
        <f t="shared" si="10"/>
        <v>272</v>
      </c>
      <c r="E44" s="14">
        <f t="shared" si="5"/>
        <v>244</v>
      </c>
      <c r="F44" s="2"/>
      <c r="R44" s="2">
        <f t="shared" si="12"/>
        <v>-28.5</v>
      </c>
      <c r="S44" s="2">
        <f t="shared" si="13"/>
        <v>271.7</v>
      </c>
      <c r="T44" s="2">
        <f t="shared" si="2"/>
        <v>243.2</v>
      </c>
    </row>
    <row r="45" spans="2:31" x14ac:dyDescent="0.35">
      <c r="B45" s="16">
        <f t="shared" si="11"/>
        <v>26.66</v>
      </c>
      <c r="C45" s="15">
        <f t="shared" si="9"/>
        <v>-31</v>
      </c>
      <c r="D45" s="15">
        <f t="shared" si="10"/>
        <v>279</v>
      </c>
      <c r="E45" s="14">
        <f t="shared" si="5"/>
        <v>248</v>
      </c>
      <c r="F45" s="2"/>
      <c r="R45" s="2">
        <f t="shared" si="12"/>
        <v>-30.8</v>
      </c>
      <c r="S45" s="2">
        <f t="shared" si="13"/>
        <v>278.60000000000002</v>
      </c>
      <c r="T45" s="2">
        <f t="shared" si="2"/>
        <v>247.8</v>
      </c>
    </row>
    <row r="46" spans="2:31" x14ac:dyDescent="0.35">
      <c r="B46" s="16">
        <f t="shared" si="11"/>
        <v>27.16</v>
      </c>
      <c r="C46" s="15">
        <f>ROUND($R46+0.105,0)</f>
        <v>-33</v>
      </c>
      <c r="D46" s="15">
        <f>ROUND($S46+0.105,0)</f>
        <v>286</v>
      </c>
      <c r="E46" s="14">
        <f t="shared" si="5"/>
        <v>253</v>
      </c>
      <c r="F46" s="2"/>
      <c r="R46" s="2">
        <f t="shared" si="12"/>
        <v>-33</v>
      </c>
      <c r="S46" s="2">
        <f t="shared" si="13"/>
        <v>285.5</v>
      </c>
      <c r="T46" s="2">
        <f t="shared" si="2"/>
        <v>252.5</v>
      </c>
    </row>
    <row r="47" spans="2:31" x14ac:dyDescent="0.35">
      <c r="B47" s="16">
        <f>B46+E$5/12</f>
        <v>27.66</v>
      </c>
      <c r="C47" s="15">
        <f>ROUND($R47+0.105,0)</f>
        <v>-35</v>
      </c>
      <c r="D47" s="15">
        <f>ROUND($S47+0.105,0)</f>
        <v>293</v>
      </c>
      <c r="E47" s="14">
        <f t="shared" si="5"/>
        <v>258</v>
      </c>
      <c r="F47" s="2"/>
      <c r="R47" s="2">
        <f t="shared" si="12"/>
        <v>-35.299999999999997</v>
      </c>
      <c r="S47" s="2">
        <f t="shared" si="13"/>
        <v>292.39999999999998</v>
      </c>
      <c r="T47" s="2">
        <f t="shared" si="2"/>
        <v>257.09999999999997</v>
      </c>
    </row>
    <row r="48" spans="2:31" ht="16" thickBot="1" x14ac:dyDescent="0.4">
      <c r="B48" s="17"/>
      <c r="C48" s="18"/>
      <c r="D48" s="18"/>
      <c r="E48" s="19"/>
      <c r="F48" s="2"/>
      <c r="R48" s="2">
        <f t="shared" si="12"/>
        <v>89.3</v>
      </c>
      <c r="S48" s="2">
        <f t="shared" si="13"/>
        <v>-89.4</v>
      </c>
      <c r="T48" s="2">
        <f t="shared" si="2"/>
        <v>-0.10000000000000853</v>
      </c>
    </row>
    <row r="49" spans="2:20" x14ac:dyDescent="0.35">
      <c r="B49" s="4"/>
      <c r="C49" s="1"/>
      <c r="D49" s="1"/>
      <c r="E49" s="1"/>
      <c r="F49" s="2"/>
      <c r="R49" s="2">
        <f t="shared" si="12"/>
        <v>89.3</v>
      </c>
      <c r="S49" s="2">
        <f t="shared" si="13"/>
        <v>-89.4</v>
      </c>
      <c r="T49" s="2">
        <f t="shared" si="2"/>
        <v>-0.10000000000000853</v>
      </c>
    </row>
    <row r="50" spans="2:20" x14ac:dyDescent="0.35">
      <c r="B50" s="4"/>
      <c r="C50" s="1"/>
      <c r="D50" s="1"/>
      <c r="E50" s="1"/>
      <c r="F50" s="2"/>
      <c r="R50" s="2">
        <f t="shared" si="12"/>
        <v>89.3</v>
      </c>
      <c r="S50" s="2">
        <f t="shared" si="13"/>
        <v>-89.4</v>
      </c>
      <c r="T50" s="2">
        <f t="shared" si="2"/>
        <v>-0.10000000000000853</v>
      </c>
    </row>
    <row r="51" spans="2:20" x14ac:dyDescent="0.35">
      <c r="B51" s="4"/>
      <c r="C51" s="1"/>
      <c r="D51" s="1"/>
      <c r="E51" s="1"/>
      <c r="F51" s="2"/>
      <c r="R51" s="2">
        <f t="shared" ref="R51:R56" si="14">ROUND((S$5-304.8*$B51)/(S$5-R$5)*R$6,1)</f>
        <v>89.3</v>
      </c>
      <c r="S51" s="2">
        <f t="shared" ref="S51:S56" si="15">ROUND((304.8*$B51-R$5)/(S$5-R$5)*S$6,1)</f>
        <v>-89.4</v>
      </c>
      <c r="T51" s="2">
        <f t="shared" si="2"/>
        <v>-0.10000000000000853</v>
      </c>
    </row>
    <row r="52" spans="2:20" x14ac:dyDescent="0.35">
      <c r="B52" s="4"/>
      <c r="C52" s="1"/>
      <c r="D52" s="1"/>
      <c r="E52" s="1"/>
      <c r="F52" s="2"/>
      <c r="R52" s="2">
        <f t="shared" si="14"/>
        <v>89.3</v>
      </c>
      <c r="S52" s="2">
        <f t="shared" si="15"/>
        <v>-89.4</v>
      </c>
      <c r="T52" s="2">
        <f t="shared" si="2"/>
        <v>-0.10000000000000853</v>
      </c>
    </row>
    <row r="53" spans="2:20" x14ac:dyDescent="0.35">
      <c r="B53" s="4"/>
      <c r="C53" s="1"/>
      <c r="D53" s="1"/>
      <c r="E53" s="1"/>
      <c r="F53" s="2"/>
      <c r="R53" s="2">
        <f t="shared" si="14"/>
        <v>89.3</v>
      </c>
      <c r="S53" s="2">
        <f t="shared" si="15"/>
        <v>-89.4</v>
      </c>
      <c r="T53" s="2">
        <f t="shared" si="2"/>
        <v>-0.10000000000000853</v>
      </c>
    </row>
    <row r="54" spans="2:20" x14ac:dyDescent="0.35">
      <c r="B54" s="4"/>
      <c r="C54" s="1"/>
      <c r="D54" s="1"/>
      <c r="E54" s="1"/>
      <c r="F54" s="2"/>
      <c r="R54" s="2">
        <f t="shared" si="14"/>
        <v>89.3</v>
      </c>
      <c r="S54" s="2">
        <f t="shared" si="15"/>
        <v>-89.4</v>
      </c>
      <c r="T54" s="2">
        <f t="shared" si="2"/>
        <v>-0.10000000000000853</v>
      </c>
    </row>
    <row r="55" spans="2:20" x14ac:dyDescent="0.35">
      <c r="B55" s="4"/>
      <c r="C55" s="1"/>
      <c r="D55" s="1"/>
      <c r="E55" s="1"/>
      <c r="F55" s="2"/>
      <c r="R55" s="2">
        <f t="shared" si="14"/>
        <v>89.3</v>
      </c>
      <c r="S55" s="2">
        <f t="shared" si="15"/>
        <v>-89.4</v>
      </c>
      <c r="T55" s="2">
        <f t="shared" si="2"/>
        <v>-0.10000000000000853</v>
      </c>
    </row>
    <row r="56" spans="2:20" x14ac:dyDescent="0.35">
      <c r="C56" s="1"/>
      <c r="D56" s="1"/>
      <c r="E56" s="1"/>
      <c r="R56" s="2">
        <f t="shared" si="14"/>
        <v>89.3</v>
      </c>
      <c r="S56" s="2">
        <f t="shared" si="15"/>
        <v>-89.4</v>
      </c>
      <c r="T56" s="2">
        <f t="shared" si="2"/>
        <v>-0.10000000000000853</v>
      </c>
    </row>
    <row r="57" spans="2:20" x14ac:dyDescent="0.35">
      <c r="C57" s="1"/>
      <c r="D57" s="1"/>
      <c r="E57" s="1"/>
    </row>
    <row r="58" spans="2:20" x14ac:dyDescent="0.35">
      <c r="C58" s="1"/>
      <c r="D58" s="1"/>
      <c r="E58" s="1"/>
    </row>
    <row r="59" spans="2:20" x14ac:dyDescent="0.35">
      <c r="C59" s="1"/>
      <c r="D59" s="1"/>
      <c r="E59" s="1"/>
    </row>
    <row r="60" spans="2:20" x14ac:dyDescent="0.35">
      <c r="C60" s="1"/>
      <c r="D60" s="1"/>
      <c r="E60" s="1"/>
    </row>
    <row r="61" spans="2:20" x14ac:dyDescent="0.35">
      <c r="C61" s="1"/>
      <c r="D61" s="1"/>
      <c r="E61" s="1"/>
    </row>
    <row r="62" spans="2:20" x14ac:dyDescent="0.35">
      <c r="C62" s="1"/>
      <c r="D62" s="1"/>
      <c r="E62" s="1"/>
    </row>
    <row r="63" spans="2:20" x14ac:dyDescent="0.35">
      <c r="C63" s="1"/>
      <c r="D63" s="1"/>
      <c r="E63" s="1"/>
    </row>
    <row r="64" spans="2:20" x14ac:dyDescent="0.35">
      <c r="C64" s="1"/>
      <c r="D64" s="1"/>
      <c r="E64" s="1"/>
    </row>
    <row r="65" spans="3:5" x14ac:dyDescent="0.35">
      <c r="C65" s="1"/>
      <c r="D65" s="1"/>
      <c r="E65" s="1"/>
    </row>
    <row r="66" spans="3:5" x14ac:dyDescent="0.35">
      <c r="C66" s="1"/>
      <c r="D66" s="1"/>
      <c r="E66" s="1"/>
    </row>
    <row r="67" spans="3:5" x14ac:dyDescent="0.35">
      <c r="C67" s="1"/>
      <c r="D67" s="1"/>
      <c r="E67" s="1"/>
    </row>
    <row r="68" spans="3:5" x14ac:dyDescent="0.35">
      <c r="C68" s="1"/>
      <c r="D68" s="1"/>
      <c r="E68" s="1"/>
    </row>
    <row r="69" spans="3:5" x14ac:dyDescent="0.35">
      <c r="C69" s="1"/>
      <c r="D69" s="1"/>
      <c r="E69" s="1"/>
    </row>
    <row r="70" spans="3:5" x14ac:dyDescent="0.35">
      <c r="C70" s="1"/>
      <c r="D70" s="1"/>
      <c r="E70" s="1"/>
    </row>
    <row r="71" spans="3:5" x14ac:dyDescent="0.35">
      <c r="C71" s="1"/>
      <c r="D71" s="1"/>
      <c r="E71" s="1"/>
    </row>
    <row r="72" spans="3:5" x14ac:dyDescent="0.35">
      <c r="C72" s="1"/>
      <c r="D72" s="1"/>
      <c r="E72" s="1"/>
    </row>
    <row r="73" spans="3:5" x14ac:dyDescent="0.35">
      <c r="C73" s="1"/>
      <c r="D73" s="1"/>
      <c r="E73" s="1"/>
    </row>
    <row r="74" spans="3:5" x14ac:dyDescent="0.35">
      <c r="C74" s="1"/>
      <c r="D74" s="1"/>
      <c r="E74" s="1"/>
    </row>
    <row r="75" spans="3:5" x14ac:dyDescent="0.35">
      <c r="C75" s="1"/>
      <c r="D75" s="1"/>
      <c r="E75" s="1"/>
    </row>
    <row r="76" spans="3:5" x14ac:dyDescent="0.35">
      <c r="C76" s="1"/>
      <c r="D76" s="1"/>
      <c r="E76" s="1"/>
    </row>
    <row r="77" spans="3:5" x14ac:dyDescent="0.35">
      <c r="C77" s="1"/>
      <c r="D77" s="1"/>
      <c r="E77" s="1"/>
    </row>
    <row r="78" spans="3:5" x14ac:dyDescent="0.35">
      <c r="C78" s="1"/>
      <c r="D78" s="1"/>
      <c r="E78" s="1"/>
    </row>
    <row r="79" spans="3:5" x14ac:dyDescent="0.35">
      <c r="C79" s="1"/>
      <c r="D79" s="1"/>
      <c r="E79" s="1"/>
    </row>
    <row r="80" spans="3:5" x14ac:dyDescent="0.35">
      <c r="C80" s="1"/>
      <c r="D80" s="1"/>
      <c r="E80" s="1"/>
    </row>
    <row r="81" spans="3:5" x14ac:dyDescent="0.35">
      <c r="C81" s="1"/>
      <c r="D81" s="1"/>
      <c r="E81" s="1"/>
    </row>
    <row r="82" spans="3:5" x14ac:dyDescent="0.35">
      <c r="C82" s="1"/>
      <c r="D82" s="1"/>
      <c r="E82" s="1"/>
    </row>
    <row r="83" spans="3:5" x14ac:dyDescent="0.35">
      <c r="C83" s="1"/>
      <c r="D83" s="1"/>
      <c r="E83" s="1"/>
    </row>
    <row r="84" spans="3:5" x14ac:dyDescent="0.35">
      <c r="C84" s="1"/>
      <c r="D84" s="1"/>
      <c r="E84" s="1"/>
    </row>
    <row r="85" spans="3:5" x14ac:dyDescent="0.35">
      <c r="C85" s="1"/>
      <c r="D85" s="1"/>
      <c r="E85" s="1"/>
    </row>
    <row r="86" spans="3:5" x14ac:dyDescent="0.35">
      <c r="C86" s="1"/>
      <c r="D86" s="1"/>
      <c r="E86" s="1"/>
    </row>
    <row r="87" spans="3:5" x14ac:dyDescent="0.35">
      <c r="C87" s="1"/>
      <c r="D87" s="1"/>
      <c r="E87" s="1"/>
    </row>
    <row r="88" spans="3:5" x14ac:dyDescent="0.35">
      <c r="C88" s="1"/>
      <c r="D88" s="1"/>
      <c r="E88" s="1"/>
    </row>
    <row r="89" spans="3:5" x14ac:dyDescent="0.35">
      <c r="C89" s="1"/>
      <c r="D89" s="1"/>
      <c r="E89" s="1"/>
    </row>
    <row r="90" spans="3:5" x14ac:dyDescent="0.35">
      <c r="C90" s="1"/>
      <c r="D90" s="1"/>
      <c r="E90" s="1"/>
    </row>
    <row r="91" spans="3:5" x14ac:dyDescent="0.35">
      <c r="C91" s="1"/>
      <c r="D91" s="1"/>
      <c r="E91" s="1"/>
    </row>
    <row r="92" spans="3:5" x14ac:dyDescent="0.35">
      <c r="C92" s="1"/>
      <c r="D92" s="1"/>
      <c r="E92" s="1"/>
    </row>
    <row r="93" spans="3:5" x14ac:dyDescent="0.35">
      <c r="C93" s="1"/>
      <c r="D93" s="1"/>
      <c r="E93" s="1"/>
    </row>
    <row r="94" spans="3:5" x14ac:dyDescent="0.35">
      <c r="C94" s="1"/>
      <c r="D94" s="1"/>
      <c r="E94" s="1"/>
    </row>
    <row r="95" spans="3:5" x14ac:dyDescent="0.35">
      <c r="C95" s="1"/>
      <c r="D95" s="1"/>
      <c r="E95" s="1"/>
    </row>
    <row r="96" spans="3:5" x14ac:dyDescent="0.35">
      <c r="C96" s="1"/>
      <c r="D96" s="1"/>
      <c r="E96" s="1"/>
    </row>
    <row r="97" spans="3:5" x14ac:dyDescent="0.35">
      <c r="C97" s="1"/>
      <c r="D97" s="1"/>
      <c r="E97" s="1"/>
    </row>
    <row r="98" spans="3:5" x14ac:dyDescent="0.35">
      <c r="C98" s="1"/>
      <c r="D98" s="1"/>
      <c r="E98" s="1"/>
    </row>
    <row r="99" spans="3:5" x14ac:dyDescent="0.35">
      <c r="C99" s="1"/>
      <c r="D99" s="1"/>
      <c r="E99" s="1"/>
    </row>
    <row r="100" spans="3:5" x14ac:dyDescent="0.35">
      <c r="C100" s="1"/>
      <c r="D100" s="1"/>
      <c r="E100" s="1"/>
    </row>
    <row r="101" spans="3:5" x14ac:dyDescent="0.35">
      <c r="C101" s="1"/>
      <c r="D101" s="1"/>
      <c r="E101" s="1"/>
    </row>
    <row r="102" spans="3:5" x14ac:dyDescent="0.35">
      <c r="C102" s="1"/>
      <c r="D102" s="1"/>
      <c r="E102" s="1"/>
    </row>
    <row r="103" spans="3:5" x14ac:dyDescent="0.35">
      <c r="C103" s="1"/>
      <c r="D103" s="1"/>
      <c r="E103" s="1"/>
    </row>
    <row r="104" spans="3:5" x14ac:dyDescent="0.35">
      <c r="C104" s="1"/>
      <c r="D104" s="1"/>
      <c r="E104" s="1"/>
    </row>
    <row r="105" spans="3:5" x14ac:dyDescent="0.35">
      <c r="C105" s="1"/>
      <c r="D105" s="1"/>
      <c r="E105" s="1"/>
    </row>
    <row r="106" spans="3:5" x14ac:dyDescent="0.35">
      <c r="C106" s="1"/>
      <c r="D106" s="1"/>
      <c r="E106" s="1"/>
    </row>
    <row r="107" spans="3:5" x14ac:dyDescent="0.35">
      <c r="C107" s="1"/>
      <c r="D107" s="1"/>
      <c r="E107" s="1"/>
    </row>
    <row r="108" spans="3:5" x14ac:dyDescent="0.35">
      <c r="C108" s="1"/>
      <c r="D108" s="1"/>
      <c r="E108" s="1"/>
    </row>
    <row r="109" spans="3:5" x14ac:dyDescent="0.35">
      <c r="C109" s="1"/>
      <c r="D109" s="1"/>
      <c r="E109" s="1"/>
    </row>
    <row r="110" spans="3:5" x14ac:dyDescent="0.35">
      <c r="C110" s="1"/>
      <c r="D110" s="1"/>
      <c r="E110" s="1"/>
    </row>
    <row r="111" spans="3:5" x14ac:dyDescent="0.35">
      <c r="C111" s="1"/>
      <c r="D111" s="1"/>
      <c r="E111" s="1"/>
    </row>
    <row r="112" spans="3:5" x14ac:dyDescent="0.35">
      <c r="C112" s="1"/>
      <c r="D112" s="1"/>
      <c r="E112" s="1"/>
    </row>
    <row r="113" spans="3:5" x14ac:dyDescent="0.35">
      <c r="C113" s="1"/>
      <c r="D113" s="1"/>
      <c r="E113" s="1"/>
    </row>
    <row r="114" spans="3:5" x14ac:dyDescent="0.35">
      <c r="C114" s="1"/>
      <c r="D114" s="1"/>
      <c r="E114" s="1"/>
    </row>
    <row r="115" spans="3:5" x14ac:dyDescent="0.35">
      <c r="C115" s="1"/>
      <c r="D115" s="1"/>
      <c r="E115" s="1"/>
    </row>
    <row r="116" spans="3:5" x14ac:dyDescent="0.35">
      <c r="C116" s="1"/>
      <c r="D116" s="1"/>
      <c r="E116" s="1"/>
    </row>
    <row r="117" spans="3:5" x14ac:dyDescent="0.35">
      <c r="C117" s="1"/>
      <c r="D117" s="1"/>
      <c r="E117" s="1"/>
    </row>
    <row r="118" spans="3:5" x14ac:dyDescent="0.35">
      <c r="C118" s="1"/>
      <c r="D118" s="1"/>
      <c r="E118" s="1"/>
    </row>
    <row r="119" spans="3:5" x14ac:dyDescent="0.35">
      <c r="C119" s="1"/>
      <c r="D119" s="1"/>
      <c r="E119" s="1"/>
    </row>
    <row r="120" spans="3:5" x14ac:dyDescent="0.35">
      <c r="C120" s="1"/>
      <c r="D120" s="1"/>
      <c r="E120" s="1"/>
    </row>
    <row r="121" spans="3:5" x14ac:dyDescent="0.35">
      <c r="C121" s="1"/>
      <c r="D121" s="1"/>
      <c r="E121" s="1"/>
    </row>
    <row r="122" spans="3:5" x14ac:dyDescent="0.35">
      <c r="C122" s="1"/>
      <c r="D122" s="1"/>
      <c r="E122" s="1"/>
    </row>
    <row r="123" spans="3:5" x14ac:dyDescent="0.35">
      <c r="C123" s="1"/>
      <c r="D123" s="1"/>
      <c r="E123" s="1"/>
    </row>
    <row r="124" spans="3:5" x14ac:dyDescent="0.35">
      <c r="C124" s="1"/>
      <c r="D124" s="1"/>
      <c r="E124" s="1"/>
    </row>
    <row r="125" spans="3:5" x14ac:dyDescent="0.35">
      <c r="C125" s="1"/>
      <c r="D125" s="1"/>
      <c r="E125" s="1"/>
    </row>
    <row r="126" spans="3:5" x14ac:dyDescent="0.35">
      <c r="C126" s="1"/>
      <c r="D126" s="1"/>
      <c r="E126" s="1"/>
    </row>
    <row r="127" spans="3:5" x14ac:dyDescent="0.35">
      <c r="C127" s="1"/>
      <c r="D127" s="1"/>
      <c r="E127" s="1"/>
    </row>
    <row r="128" spans="3:5" x14ac:dyDescent="0.35">
      <c r="C128" s="1"/>
      <c r="D128" s="1"/>
      <c r="E128" s="1"/>
    </row>
    <row r="129" spans="3:5" x14ac:dyDescent="0.35">
      <c r="C129" s="1"/>
      <c r="D129" s="1"/>
      <c r="E129" s="1"/>
    </row>
    <row r="130" spans="3:5" x14ac:dyDescent="0.35">
      <c r="C130" s="1"/>
      <c r="D130" s="1"/>
      <c r="E130" s="1"/>
    </row>
    <row r="131" spans="3:5" x14ac:dyDescent="0.35">
      <c r="C131" s="1"/>
      <c r="D131" s="1"/>
      <c r="E131" s="1"/>
    </row>
    <row r="132" spans="3:5" x14ac:dyDescent="0.35">
      <c r="C132" s="1"/>
      <c r="D132" s="1"/>
      <c r="E132" s="1"/>
    </row>
    <row r="133" spans="3:5" x14ac:dyDescent="0.35">
      <c r="C133" s="1"/>
      <c r="D133" s="1"/>
      <c r="E133" s="1"/>
    </row>
    <row r="134" spans="3:5" x14ac:dyDescent="0.35">
      <c r="C134" s="1"/>
      <c r="D134" s="1"/>
      <c r="E134" s="1"/>
    </row>
    <row r="135" spans="3:5" x14ac:dyDescent="0.35">
      <c r="C135" s="1"/>
      <c r="D135" s="1"/>
      <c r="E135" s="1"/>
    </row>
    <row r="136" spans="3:5" x14ac:dyDescent="0.35">
      <c r="C136" s="1"/>
      <c r="D136" s="1"/>
      <c r="E136" s="1"/>
    </row>
    <row r="137" spans="3:5" x14ac:dyDescent="0.35">
      <c r="C137" s="1"/>
      <c r="D137" s="1"/>
      <c r="E137" s="1"/>
    </row>
    <row r="138" spans="3:5" x14ac:dyDescent="0.35">
      <c r="C138" s="1"/>
      <c r="D138" s="1"/>
      <c r="E138" s="1"/>
    </row>
    <row r="139" spans="3:5" x14ac:dyDescent="0.35">
      <c r="C139" s="1"/>
      <c r="D139" s="1"/>
      <c r="E139" s="1"/>
    </row>
    <row r="140" spans="3:5" x14ac:dyDescent="0.35">
      <c r="C140" s="1"/>
      <c r="D140" s="1"/>
      <c r="E140" s="1"/>
    </row>
    <row r="141" spans="3:5" x14ac:dyDescent="0.35">
      <c r="C141" s="1"/>
      <c r="D141" s="1"/>
      <c r="E141" s="1"/>
    </row>
    <row r="142" spans="3:5" x14ac:dyDescent="0.35">
      <c r="C142" s="1"/>
      <c r="D142" s="1"/>
      <c r="E142" s="1"/>
    </row>
    <row r="143" spans="3:5" x14ac:dyDescent="0.35">
      <c r="C143" s="1"/>
      <c r="D143" s="1"/>
      <c r="E143" s="1"/>
    </row>
    <row r="144" spans="3:5" x14ac:dyDescent="0.35">
      <c r="C144" s="1"/>
      <c r="D144" s="1"/>
      <c r="E144" s="1"/>
    </row>
    <row r="145" spans="3:5" x14ac:dyDescent="0.35">
      <c r="C145" s="1"/>
      <c r="D145" s="1"/>
      <c r="E145" s="1"/>
    </row>
    <row r="146" spans="3:5" x14ac:dyDescent="0.35">
      <c r="C146" s="1"/>
      <c r="D146" s="1"/>
      <c r="E146" s="1"/>
    </row>
    <row r="147" spans="3:5" x14ac:dyDescent="0.35">
      <c r="C147" s="1"/>
      <c r="D147" s="1"/>
      <c r="E147" s="1"/>
    </row>
    <row r="148" spans="3:5" x14ac:dyDescent="0.35">
      <c r="C148" s="1"/>
      <c r="D148" s="1"/>
      <c r="E148" s="1"/>
    </row>
    <row r="149" spans="3:5" x14ac:dyDescent="0.35">
      <c r="C149" s="1"/>
      <c r="D149" s="1"/>
      <c r="E149" s="1"/>
    </row>
    <row r="150" spans="3:5" x14ac:dyDescent="0.35">
      <c r="C150" s="1"/>
      <c r="D150" s="1"/>
      <c r="E150" s="1"/>
    </row>
    <row r="151" spans="3:5" x14ac:dyDescent="0.35">
      <c r="C151" s="1"/>
      <c r="D151" s="1"/>
      <c r="E151" s="1"/>
    </row>
    <row r="152" spans="3:5" x14ac:dyDescent="0.35">
      <c r="C152" s="1"/>
      <c r="D152" s="1"/>
      <c r="E152" s="1"/>
    </row>
    <row r="153" spans="3:5" x14ac:dyDescent="0.35">
      <c r="C153" s="1"/>
      <c r="D153" s="1"/>
      <c r="E153" s="1"/>
    </row>
    <row r="154" spans="3:5" x14ac:dyDescent="0.35">
      <c r="C154" s="1"/>
      <c r="D154" s="1"/>
      <c r="E154" s="1"/>
    </row>
    <row r="155" spans="3:5" x14ac:dyDescent="0.35">
      <c r="C155" s="1"/>
      <c r="D155" s="1"/>
      <c r="E155" s="1"/>
    </row>
    <row r="156" spans="3:5" x14ac:dyDescent="0.35">
      <c r="C156" s="1"/>
      <c r="D156" s="1"/>
      <c r="E156" s="1"/>
    </row>
    <row r="157" spans="3:5" x14ac:dyDescent="0.35">
      <c r="C157" s="1"/>
      <c r="D157" s="1"/>
      <c r="E157" s="1"/>
    </row>
    <row r="158" spans="3:5" x14ac:dyDescent="0.35">
      <c r="C158" s="1"/>
      <c r="D158" s="1"/>
      <c r="E158" s="1"/>
    </row>
    <row r="159" spans="3:5" x14ac:dyDescent="0.35">
      <c r="C159" s="1"/>
      <c r="D159" s="1"/>
      <c r="E159" s="1"/>
    </row>
    <row r="160" spans="3:5" x14ac:dyDescent="0.35">
      <c r="C160" s="1"/>
      <c r="D160" s="1"/>
      <c r="E160" s="1"/>
    </row>
    <row r="161" spans="3:5" x14ac:dyDescent="0.35">
      <c r="C161" s="1"/>
      <c r="D161" s="1"/>
      <c r="E161" s="1"/>
    </row>
    <row r="162" spans="3:5" x14ac:dyDescent="0.35">
      <c r="C162" s="1"/>
      <c r="D162" s="1"/>
      <c r="E162" s="1"/>
    </row>
    <row r="163" spans="3:5" x14ac:dyDescent="0.35">
      <c r="C163" s="1"/>
      <c r="D163" s="1"/>
      <c r="E163" s="1"/>
    </row>
    <row r="164" spans="3:5" x14ac:dyDescent="0.35">
      <c r="C164" s="1"/>
      <c r="D164" s="1"/>
      <c r="E164" s="1"/>
    </row>
    <row r="165" spans="3:5" x14ac:dyDescent="0.35">
      <c r="C165" s="1"/>
      <c r="D165" s="1"/>
      <c r="E165" s="1"/>
    </row>
    <row r="166" spans="3:5" x14ac:dyDescent="0.35">
      <c r="C166" s="1"/>
      <c r="D166" s="1"/>
      <c r="E166" s="1"/>
    </row>
    <row r="167" spans="3:5" x14ac:dyDescent="0.35">
      <c r="C167" s="1"/>
      <c r="D167" s="1"/>
      <c r="E167" s="1"/>
    </row>
    <row r="168" spans="3:5" x14ac:dyDescent="0.35">
      <c r="C168" s="1"/>
      <c r="D168" s="1"/>
      <c r="E168" s="1"/>
    </row>
    <row r="169" spans="3:5" x14ac:dyDescent="0.35">
      <c r="C169" s="1"/>
      <c r="D169" s="1"/>
      <c r="E169" s="1"/>
    </row>
    <row r="170" spans="3:5" x14ac:dyDescent="0.35">
      <c r="C170" s="1"/>
      <c r="D170" s="1"/>
      <c r="E170" s="1"/>
    </row>
    <row r="171" spans="3:5" x14ac:dyDescent="0.35">
      <c r="C171" s="1"/>
      <c r="D171" s="1"/>
      <c r="E171" s="1"/>
    </row>
    <row r="172" spans="3:5" x14ac:dyDescent="0.35">
      <c r="C172" s="1"/>
      <c r="D172" s="1"/>
      <c r="E172" s="1"/>
    </row>
    <row r="173" spans="3:5" x14ac:dyDescent="0.35">
      <c r="C173" s="1"/>
      <c r="D173" s="1"/>
      <c r="E173" s="1"/>
    </row>
    <row r="174" spans="3:5" x14ac:dyDescent="0.35">
      <c r="C174" s="1"/>
      <c r="D174" s="1"/>
      <c r="E174" s="1"/>
    </row>
    <row r="175" spans="3:5" x14ac:dyDescent="0.35">
      <c r="C175" s="1"/>
      <c r="D175" s="1"/>
      <c r="E175" s="1"/>
    </row>
    <row r="176" spans="3:5" x14ac:dyDescent="0.35">
      <c r="C176" s="1"/>
      <c r="D176" s="1"/>
      <c r="E176" s="1"/>
    </row>
    <row r="177" spans="3:5" x14ac:dyDescent="0.35">
      <c r="C177" s="1"/>
      <c r="D177" s="1"/>
      <c r="E177" s="1"/>
    </row>
    <row r="178" spans="3:5" x14ac:dyDescent="0.35">
      <c r="C178" s="1"/>
      <c r="D178" s="1"/>
      <c r="E178" s="1"/>
    </row>
    <row r="179" spans="3:5" x14ac:dyDescent="0.35">
      <c r="C179" s="1"/>
      <c r="D179" s="1"/>
      <c r="E179" s="1"/>
    </row>
    <row r="180" spans="3:5" x14ac:dyDescent="0.35">
      <c r="C180" s="1"/>
      <c r="D180" s="1"/>
      <c r="E180" s="1"/>
    </row>
    <row r="181" spans="3:5" x14ac:dyDescent="0.35">
      <c r="C181" s="1"/>
      <c r="D181" s="1"/>
      <c r="E181" s="1"/>
    </row>
    <row r="182" spans="3:5" x14ac:dyDescent="0.35">
      <c r="C182" s="1"/>
      <c r="D182" s="1"/>
      <c r="E182" s="1"/>
    </row>
    <row r="183" spans="3:5" x14ac:dyDescent="0.35">
      <c r="C183" s="1"/>
      <c r="D183" s="1"/>
      <c r="E183" s="1"/>
    </row>
    <row r="184" spans="3:5" x14ac:dyDescent="0.35">
      <c r="C184" s="1"/>
      <c r="D184" s="1"/>
      <c r="E184" s="1"/>
    </row>
    <row r="185" spans="3:5" x14ac:dyDescent="0.35">
      <c r="C185" s="1"/>
      <c r="D185" s="1"/>
      <c r="E185" s="1"/>
    </row>
    <row r="186" spans="3:5" x14ac:dyDescent="0.35">
      <c r="C186" s="1"/>
      <c r="D186" s="1"/>
      <c r="E186" s="1"/>
    </row>
    <row r="187" spans="3:5" x14ac:dyDescent="0.35">
      <c r="C187" s="1"/>
      <c r="D187" s="1"/>
      <c r="E187" s="1"/>
    </row>
    <row r="188" spans="3:5" x14ac:dyDescent="0.35">
      <c r="C188" s="1"/>
      <c r="D188" s="1"/>
      <c r="E188" s="1"/>
    </row>
    <row r="189" spans="3:5" x14ac:dyDescent="0.35">
      <c r="C189" s="1"/>
      <c r="D189" s="1"/>
      <c r="E189" s="1"/>
    </row>
    <row r="190" spans="3:5" x14ac:dyDescent="0.35">
      <c r="C190" s="1"/>
      <c r="D190" s="1"/>
      <c r="E190" s="1"/>
    </row>
    <row r="191" spans="3:5" x14ac:dyDescent="0.35">
      <c r="C191" s="1"/>
      <c r="D191" s="1"/>
      <c r="E191" s="1"/>
    </row>
    <row r="192" spans="3:5" x14ac:dyDescent="0.35">
      <c r="C192" s="1"/>
      <c r="D192" s="1"/>
      <c r="E192" s="1"/>
    </row>
    <row r="193" spans="3:5" x14ac:dyDescent="0.35">
      <c r="C193" s="1"/>
      <c r="D193" s="1"/>
      <c r="E193" s="1"/>
    </row>
    <row r="194" spans="3:5" x14ac:dyDescent="0.35">
      <c r="C194" s="1"/>
      <c r="D194" s="1"/>
      <c r="E194" s="1"/>
    </row>
    <row r="195" spans="3:5" x14ac:dyDescent="0.35">
      <c r="C195" s="1"/>
      <c r="D195" s="1"/>
      <c r="E195" s="1"/>
    </row>
    <row r="196" spans="3:5" x14ac:dyDescent="0.35">
      <c r="C196" s="1"/>
      <c r="D196" s="1"/>
      <c r="E196" s="1"/>
    </row>
    <row r="197" spans="3:5" x14ac:dyDescent="0.35">
      <c r="C197" s="1"/>
      <c r="D197" s="1"/>
      <c r="E197" s="1"/>
    </row>
    <row r="198" spans="3:5" x14ac:dyDescent="0.35">
      <c r="C198" s="1"/>
      <c r="D198" s="1"/>
      <c r="E198" s="1"/>
    </row>
    <row r="199" spans="3:5" x14ac:dyDescent="0.35">
      <c r="C199" s="1"/>
      <c r="D199" s="1"/>
      <c r="E199" s="1"/>
    </row>
    <row r="200" spans="3:5" x14ac:dyDescent="0.35">
      <c r="C200" s="1"/>
      <c r="D200" s="1"/>
      <c r="E200" s="1"/>
    </row>
    <row r="201" spans="3:5" x14ac:dyDescent="0.35">
      <c r="C201" s="1"/>
      <c r="D201" s="1"/>
      <c r="E201" s="1"/>
    </row>
    <row r="202" spans="3:5" x14ac:dyDescent="0.35">
      <c r="C202" s="1"/>
      <c r="D202" s="1"/>
      <c r="E202" s="1"/>
    </row>
    <row r="203" spans="3:5" x14ac:dyDescent="0.35">
      <c r="C203" s="1"/>
      <c r="D203" s="1"/>
      <c r="E203" s="1"/>
    </row>
  </sheetData>
  <phoneticPr fontId="19" type="noConversion"/>
  <printOptions gridLinesSet="0"/>
  <pageMargins left="0.5" right="0.5" top="0.5" bottom="0.55000000000000004" header="0.5" footer="0.5"/>
  <pageSetup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O28"/>
  <sheetViews>
    <sheetView zoomScale="65" workbookViewId="0">
      <pane xSplit="14" ySplit="23" topLeftCell="O24" activePane="bottomRight" state="frozen"/>
      <selection pane="topRight" activeCell="O1" sqref="O1"/>
      <selection pane="bottomLeft" activeCell="A24" sqref="A24"/>
      <selection pane="bottomRight" activeCell="B9" sqref="B9"/>
    </sheetView>
  </sheetViews>
  <sheetFormatPr defaultColWidth="11.61328125" defaultRowHeight="15.5" x14ac:dyDescent="0.35"/>
  <cols>
    <col min="1" max="1" width="25.61328125" style="21" customWidth="1"/>
    <col min="2" max="2" width="9.765625" style="21" customWidth="1"/>
    <col min="3" max="4" width="8" style="21" customWidth="1"/>
    <col min="5" max="5" width="0.921875" style="64" customWidth="1"/>
    <col min="6" max="7" width="8" style="21" customWidth="1"/>
    <col min="8" max="8" width="0.921875" style="64" customWidth="1"/>
    <col min="9" max="10" width="8" style="21" customWidth="1"/>
    <col min="11" max="11" width="0.921875" style="64" customWidth="1"/>
    <col min="12" max="13" width="8.23046875" style="21" customWidth="1"/>
    <col min="14" max="14" width="0" style="63" hidden="1" customWidth="1"/>
    <col min="15" max="16384" width="11.61328125" style="21"/>
  </cols>
  <sheetData>
    <row r="1" spans="1:15" s="143" customFormat="1" ht="30" customHeight="1" thickBot="1" x14ac:dyDescent="0.4">
      <c r="A1" s="136" t="s">
        <v>92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9"/>
      <c r="M1" s="140"/>
      <c r="N1" s="141">
        <f>IF(B10="I",198,IF(B10="V",199,"NA"))</f>
        <v>198</v>
      </c>
      <c r="O1" s="142"/>
    </row>
    <row r="2" spans="1:15" ht="16.5" thickTop="1" thickBot="1" x14ac:dyDescent="0.4">
      <c r="A2" s="57"/>
      <c r="B2" s="59"/>
      <c r="C2" s="59"/>
      <c r="D2" s="59"/>
      <c r="E2" s="65"/>
      <c r="F2" s="59"/>
      <c r="G2" s="59"/>
      <c r="H2" s="65"/>
      <c r="I2" s="59"/>
      <c r="J2" s="144"/>
      <c r="K2" s="145"/>
      <c r="L2" s="65"/>
      <c r="M2" s="65"/>
      <c r="N2" s="146"/>
      <c r="O2" s="59"/>
    </row>
    <row r="3" spans="1:15" ht="16" thickBot="1" x14ac:dyDescent="0.4">
      <c r="A3" s="60" t="s">
        <v>93</v>
      </c>
      <c r="B3" s="70">
        <v>18.5</v>
      </c>
      <c r="C3" s="59"/>
      <c r="D3" s="69" t="s">
        <v>9</v>
      </c>
      <c r="E3" s="147"/>
      <c r="F3" s="67" t="str">
        <f>IF(D3="WD",0.8,IF(D3="WB",1.6,IF(D3="D","DRY","D, WD or WB")))</f>
        <v>DRY</v>
      </c>
      <c r="G3" s="71" t="s">
        <v>94</v>
      </c>
      <c r="H3" s="148"/>
      <c r="I3" s="59"/>
      <c r="J3" s="59"/>
      <c r="K3" s="65"/>
      <c r="L3" s="65"/>
      <c r="M3" s="65"/>
      <c r="N3" s="146">
        <f>IF(AND(F3&gt;0,F3&lt;9999),F3,0)</f>
        <v>0</v>
      </c>
      <c r="O3" s="59"/>
    </row>
    <row r="4" spans="1:15" ht="16" thickBot="1" x14ac:dyDescent="0.4">
      <c r="A4" s="60" t="s">
        <v>14</v>
      </c>
      <c r="B4" s="69">
        <v>0</v>
      </c>
      <c r="C4" s="59"/>
      <c r="D4" s="69" t="s">
        <v>15</v>
      </c>
      <c r="E4" s="147"/>
      <c r="F4" s="67" t="str">
        <f>IF(D4="Y",0.15,IF(D4="N","NONE","Y or N ?"))</f>
        <v>NONE</v>
      </c>
      <c r="G4" s="71" t="s">
        <v>95</v>
      </c>
      <c r="H4" s="148"/>
      <c r="I4" s="59"/>
      <c r="J4" s="59"/>
      <c r="K4" s="65"/>
      <c r="L4" s="65"/>
      <c r="M4" s="65"/>
      <c r="N4" s="146">
        <f>IF(AND(F4&gt;0,F4&lt;9999),F4,0)</f>
        <v>0</v>
      </c>
      <c r="O4" s="59"/>
    </row>
    <row r="5" spans="1:15" ht="18.5" thickBot="1" x14ac:dyDescent="0.45">
      <c r="A5" s="60" t="s">
        <v>19</v>
      </c>
      <c r="B5" s="70">
        <v>10</v>
      </c>
      <c r="C5" s="59"/>
      <c r="D5" s="137" t="s">
        <v>96</v>
      </c>
      <c r="E5" s="73"/>
      <c r="F5" s="149"/>
      <c r="G5" s="150"/>
      <c r="H5" s="151"/>
      <c r="I5" s="150"/>
      <c r="J5" s="61"/>
      <c r="K5" s="72"/>
      <c r="L5" s="65"/>
      <c r="M5" s="65"/>
      <c r="N5" s="146"/>
      <c r="O5" s="59"/>
    </row>
    <row r="6" spans="1:15" ht="16" thickBot="1" x14ac:dyDescent="0.4">
      <c r="A6" s="74" t="s">
        <v>97</v>
      </c>
      <c r="B6" s="69" t="s">
        <v>25</v>
      </c>
      <c r="C6" s="59"/>
      <c r="D6" s="127"/>
      <c r="E6" s="128"/>
      <c r="F6" s="129"/>
      <c r="G6" s="129"/>
      <c r="H6" s="152"/>
      <c r="I6" s="153"/>
      <c r="J6" s="130"/>
      <c r="K6" s="131"/>
      <c r="L6" s="148"/>
      <c r="M6" s="148"/>
      <c r="N6" s="146"/>
      <c r="O6" s="59"/>
    </row>
    <row r="7" spans="1:15" x14ac:dyDescent="0.35">
      <c r="A7" s="57"/>
      <c r="B7" s="59"/>
      <c r="C7" s="59"/>
      <c r="D7" s="132"/>
      <c r="E7" s="133"/>
      <c r="F7" s="129"/>
      <c r="G7" s="129"/>
      <c r="H7" s="152"/>
      <c r="I7" s="153"/>
      <c r="J7" s="134"/>
      <c r="K7" s="135"/>
      <c r="L7" s="148"/>
      <c r="M7" s="148"/>
      <c r="N7" s="146"/>
      <c r="O7" s="59"/>
    </row>
    <row r="8" spans="1:15" ht="16" thickBot="1" x14ac:dyDescent="0.4">
      <c r="A8" s="59"/>
      <c r="B8" s="59"/>
      <c r="C8" s="169" t="s">
        <v>98</v>
      </c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46"/>
      <c r="O8" s="59"/>
    </row>
    <row r="9" spans="1:15" ht="24" customHeight="1" thickBot="1" x14ac:dyDescent="0.4">
      <c r="A9" s="68" t="s">
        <v>99</v>
      </c>
      <c r="B9" s="168">
        <v>220</v>
      </c>
      <c r="C9" s="169" t="s">
        <v>100</v>
      </c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46"/>
      <c r="O9" s="59"/>
    </row>
    <row r="10" spans="1:15" ht="21.75" customHeight="1" thickBot="1" x14ac:dyDescent="0.4">
      <c r="A10" s="68" t="s">
        <v>101</v>
      </c>
      <c r="B10" s="69" t="s">
        <v>102</v>
      </c>
      <c r="C10" s="59"/>
      <c r="D10" s="59"/>
      <c r="E10" s="65"/>
      <c r="F10" s="59"/>
      <c r="G10" s="59"/>
      <c r="H10" s="65"/>
      <c r="I10" s="59"/>
      <c r="J10" s="59"/>
      <c r="K10" s="65"/>
      <c r="L10" s="59"/>
      <c r="M10" s="59"/>
      <c r="N10" s="146"/>
      <c r="O10" s="59"/>
    </row>
    <row r="11" spans="1:15" ht="16" thickBot="1" x14ac:dyDescent="0.4">
      <c r="A11" s="59"/>
      <c r="B11" s="59"/>
      <c r="C11" s="59"/>
      <c r="D11" s="59"/>
      <c r="E11" s="65"/>
      <c r="F11" s="59"/>
      <c r="G11" s="59"/>
      <c r="H11" s="65"/>
      <c r="I11" s="59"/>
      <c r="J11" s="59"/>
      <c r="K11" s="65"/>
      <c r="L11" s="59"/>
      <c r="M11" s="59"/>
      <c r="O11" s="59"/>
    </row>
    <row r="12" spans="1:15" ht="16" hidden="1" thickBot="1" x14ac:dyDescent="0.4">
      <c r="C12" s="154">
        <f>+B9+1</f>
        <v>221</v>
      </c>
      <c r="D12" s="154">
        <f>+B9+1</f>
        <v>221</v>
      </c>
      <c r="F12" s="21">
        <f>+B9+2</f>
        <v>222</v>
      </c>
      <c r="G12" s="21">
        <f>$B$9+2</f>
        <v>222</v>
      </c>
      <c r="I12" s="21">
        <f>$B$9+3</f>
        <v>223</v>
      </c>
      <c r="J12" s="21">
        <f>$B$9+3</f>
        <v>223</v>
      </c>
      <c r="L12" s="21">
        <f>$B$9+4</f>
        <v>224</v>
      </c>
      <c r="M12" s="21">
        <f>$B$9+4</f>
        <v>224</v>
      </c>
      <c r="O12" s="59"/>
    </row>
    <row r="13" spans="1:15" s="156" customFormat="1" ht="26.25" customHeight="1" thickBot="1" x14ac:dyDescent="0.4">
      <c r="A13" s="155" t="s">
        <v>103</v>
      </c>
      <c r="C13" s="157" t="str">
        <f>VLOOKUP(C12,IF($B$10="I",COMB_ISO,IF($B$10="V",COMB_VDZ,"N/A")),2)</f>
        <v>322</v>
      </c>
      <c r="D13" s="158" t="str">
        <f>VLOOKUP(D12,IF($B$10="I",COMB_ISO,IF($B$10="V",COMB_VDZ,"N/D")),3)</f>
        <v>822</v>
      </c>
      <c r="E13" s="159"/>
      <c r="F13" s="157" t="str">
        <f>VLOOKUP(F12,IF($B$10="I",COMB_ISO,IF($B$10="V",COMB_VDZ,"N/D")),2)</f>
        <v>322</v>
      </c>
      <c r="G13" s="158" t="str">
        <f>VLOOKUP(G12,IF($B$10="I",COMB_ISO,IF($B$10="V",COMB_VDZ,"N/D")),3)</f>
        <v>622</v>
      </c>
      <c r="H13" s="160"/>
      <c r="I13" s="157" t="str">
        <f>VLOOKUP(I12,IF($B$10="I",COMB_ISO,IF($B$10="V",COMB_VDZ,"N/A")),2)</f>
        <v>222</v>
      </c>
      <c r="J13" s="158" t="str">
        <f>VLOOKUP(J12,IF($B$10="I",COMB_ISO,IF($B$10="V",COMB_VDZ,"N/D")),3)</f>
        <v>822</v>
      </c>
      <c r="K13" s="159"/>
      <c r="L13" s="157" t="str">
        <f>VLOOKUP(L12,IF($B$10="I",COMB_ISO,IF($B$10="V",COMB_VDZ,"N/D")),2)</f>
        <v>222</v>
      </c>
      <c r="M13" s="158" t="str">
        <f>VLOOKUP(M12,IF($B$10="I",COMB_ISO,IF($B$10="V",COMB_VDZ,"N/D")),3)</f>
        <v>622</v>
      </c>
      <c r="N13" s="161"/>
      <c r="O13" s="162"/>
    </row>
    <row r="14" spans="1:15" s="156" customFormat="1" ht="26.25" hidden="1" customHeight="1" x14ac:dyDescent="0.35">
      <c r="A14" s="160" t="s">
        <v>104</v>
      </c>
      <c r="B14" s="162"/>
      <c r="C14" s="163" t="str">
        <f>IF(C13="N/D",9999,C13)</f>
        <v>322</v>
      </c>
      <c r="D14" s="163" t="str">
        <f t="shared" ref="D14:M14" si="0">IF(D13="N/D",9999,D13)</f>
        <v>822</v>
      </c>
      <c r="E14" s="163"/>
      <c r="F14" s="163" t="str">
        <f t="shared" si="0"/>
        <v>322</v>
      </c>
      <c r="G14" s="163" t="str">
        <f t="shared" si="0"/>
        <v>622</v>
      </c>
      <c r="H14" s="163"/>
      <c r="I14" s="163" t="str">
        <f t="shared" si="0"/>
        <v>222</v>
      </c>
      <c r="J14" s="163" t="str">
        <f t="shared" si="0"/>
        <v>822</v>
      </c>
      <c r="K14" s="163"/>
      <c r="L14" s="163" t="str">
        <f t="shared" si="0"/>
        <v>222</v>
      </c>
      <c r="M14" s="163" t="str">
        <f t="shared" si="0"/>
        <v>622</v>
      </c>
      <c r="N14" s="161"/>
      <c r="O14" s="162"/>
    </row>
    <row r="15" spans="1:15" s="156" customFormat="1" ht="26.25" hidden="1" customHeight="1" x14ac:dyDescent="0.35">
      <c r="A15" s="160"/>
      <c r="B15" s="162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1"/>
      <c r="O15" s="162"/>
    </row>
    <row r="16" spans="1:15" x14ac:dyDescent="0.35">
      <c r="A16" s="59"/>
      <c r="B16" s="59"/>
      <c r="C16" s="59"/>
      <c r="D16" s="59"/>
      <c r="E16" s="65"/>
      <c r="F16" s="59"/>
      <c r="G16" s="59"/>
      <c r="H16" s="65"/>
      <c r="I16" s="59"/>
      <c r="J16" s="59"/>
      <c r="K16" s="65"/>
      <c r="L16" s="59"/>
      <c r="M16" s="59"/>
      <c r="O16" s="59"/>
    </row>
    <row r="17" spans="1:15" x14ac:dyDescent="0.35">
      <c r="A17" s="144" t="s">
        <v>105</v>
      </c>
      <c r="B17" s="59"/>
      <c r="C17" s="165">
        <f>IF(C13="N/A","--",IF('1 ET 2'!$E57=0,'1 ET 2'!C14,"N/A"))</f>
        <v>43</v>
      </c>
      <c r="D17" s="165">
        <f>IF(D13="N/A","--",IF('1 ET 2'!$E57=0,'1 ET 2'!D14,"N/A"))</f>
        <v>129</v>
      </c>
      <c r="E17" s="166"/>
      <c r="F17" s="165">
        <f>IF(F13="N/A","--",IF('1 ET 2'!$AE57=0,'1 ET 2'!AC14,"N/A"))</f>
        <v>13</v>
      </c>
      <c r="G17" s="165">
        <f>IF(G13="N/A","--",IF('1 ET 2'!$AE57=0,'1 ET 2'!AD14,"N/A"))</f>
        <v>160</v>
      </c>
      <c r="H17" s="166"/>
      <c r="I17" s="165">
        <f>IF(I13="N/A","--",IF('3 ET 4'!E57=0,'3 ET 4'!C14,"N/A"))</f>
        <v>23</v>
      </c>
      <c r="J17" s="165">
        <f>IF(J13="N/A","--",IF('3 ET 4'!E57=0,'3 ET 4'!D14,"N/A"))</f>
        <v>149</v>
      </c>
      <c r="K17" s="166"/>
      <c r="L17" s="165">
        <f>IF(L13="N/A","--",IF('3 ET 4'!AE57=0,'3 ET 4'!AC14,"N/A"))</f>
        <v>6</v>
      </c>
      <c r="M17" s="165">
        <f>IF(M13="N/A","--",IF('3 ET 4'!AE57=0,'3 ET 4'!AD14,"N/A"))</f>
        <v>166</v>
      </c>
      <c r="O17" s="59"/>
    </row>
    <row r="18" spans="1:15" x14ac:dyDescent="0.35">
      <c r="A18" s="144"/>
      <c r="B18" s="59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O18" s="59"/>
    </row>
    <row r="19" spans="1:15" x14ac:dyDescent="0.35">
      <c r="A19" s="144" t="s">
        <v>106</v>
      </c>
      <c r="B19" s="145">
        <f>ROUNDUP((B5*12*25.4)/N1,0)</f>
        <v>16</v>
      </c>
      <c r="C19" s="167"/>
      <c r="D19" s="167"/>
      <c r="E19" s="145"/>
      <c r="F19" s="145"/>
      <c r="G19" s="145"/>
      <c r="H19" s="145"/>
      <c r="I19" s="145"/>
      <c r="J19" s="145"/>
      <c r="K19" s="145"/>
      <c r="L19" s="145"/>
      <c r="M19" s="145"/>
      <c r="O19" s="59"/>
    </row>
    <row r="20" spans="1:15" x14ac:dyDescent="0.35">
      <c r="A20" s="144"/>
      <c r="B20" s="59"/>
      <c r="C20" s="167"/>
      <c r="D20" s="167"/>
      <c r="E20" s="66"/>
      <c r="F20" s="167"/>
      <c r="G20" s="167"/>
      <c r="H20" s="66"/>
      <c r="I20" s="167"/>
      <c r="J20" s="167"/>
      <c r="K20" s="66"/>
      <c r="L20" s="167"/>
      <c r="M20" s="167"/>
      <c r="O20" s="59"/>
    </row>
    <row r="21" spans="1:15" x14ac:dyDescent="0.35">
      <c r="A21" s="144" t="s">
        <v>107</v>
      </c>
      <c r="B21" s="59"/>
      <c r="C21" s="165">
        <f>IF(OR(C17="N/A",C13="N/A"),"--",C17*$B$19)</f>
        <v>688</v>
      </c>
      <c r="D21" s="165">
        <f>IF(OR(D17="N/A",D13="N/A"),"--",D17*$B$19)</f>
        <v>2064</v>
      </c>
      <c r="E21" s="166"/>
      <c r="F21" s="165">
        <f>IF(OR(F17="N/A",F13="N/A"),"--",F17*$B$19)</f>
        <v>208</v>
      </c>
      <c r="G21" s="165">
        <f>IF(OR(G17="N/A",G13="N/A"),"--",G17*$B$19)</f>
        <v>2560</v>
      </c>
      <c r="H21" s="166"/>
      <c r="I21" s="165">
        <f>IF(OR(I17="N/A",I13="N/A"),"--",I17*$B$19)</f>
        <v>368</v>
      </c>
      <c r="J21" s="165">
        <f>IF(OR(J17="N/A",J13="N/A"),"--",J17*$B$19)</f>
        <v>2384</v>
      </c>
      <c r="K21" s="166"/>
      <c r="L21" s="165">
        <f>IF(OR(L17="N/A",L13="N/A"),"--",L17*$B$19)</f>
        <v>96</v>
      </c>
      <c r="M21" s="165">
        <f>IF(OR(M17="N/A",M13="N/A"),"--",M17*$B$19)</f>
        <v>2656</v>
      </c>
      <c r="O21" s="59"/>
    </row>
    <row r="22" spans="1:15" x14ac:dyDescent="0.35">
      <c r="A22" s="170" t="s">
        <v>108</v>
      </c>
      <c r="B22" s="59"/>
      <c r="C22" s="59"/>
      <c r="D22" s="59"/>
      <c r="E22" s="65"/>
      <c r="F22" s="59"/>
      <c r="G22" s="59"/>
      <c r="H22" s="65"/>
      <c r="I22" s="59"/>
      <c r="J22" s="59"/>
      <c r="K22" s="65"/>
      <c r="L22" s="59"/>
      <c r="M22" s="59"/>
      <c r="N22" s="167"/>
      <c r="O22" s="59"/>
    </row>
    <row r="23" spans="1:15" x14ac:dyDescent="0.35">
      <c r="A23" s="59"/>
      <c r="B23" s="59"/>
      <c r="C23" s="59"/>
      <c r="D23" s="59"/>
      <c r="E23" s="65"/>
      <c r="F23" s="59"/>
      <c r="G23" s="59"/>
      <c r="H23" s="65"/>
      <c r="I23" s="59"/>
      <c r="J23" s="59"/>
      <c r="K23" s="65"/>
      <c r="L23" s="59"/>
      <c r="M23" s="59"/>
      <c r="N23" s="167"/>
      <c r="O23" s="59"/>
    </row>
    <row r="24" spans="1:15" x14ac:dyDescent="0.35">
      <c r="A24" s="59"/>
      <c r="B24" s="59"/>
      <c r="C24" s="59"/>
      <c r="D24" s="59"/>
      <c r="E24" s="65"/>
      <c r="F24" s="59"/>
      <c r="G24" s="59"/>
      <c r="H24" s="65"/>
      <c r="I24" s="59"/>
      <c r="J24" s="59"/>
      <c r="K24" s="65"/>
      <c r="L24" s="59"/>
      <c r="M24" s="59"/>
      <c r="N24" s="167"/>
      <c r="O24" s="59"/>
    </row>
    <row r="25" spans="1:15" x14ac:dyDescent="0.35">
      <c r="A25" s="59"/>
      <c r="B25" s="59"/>
      <c r="C25" s="59"/>
      <c r="D25" s="59"/>
      <c r="E25" s="65"/>
      <c r="F25" s="59"/>
      <c r="G25" s="59"/>
      <c r="H25" s="65"/>
      <c r="I25" s="59"/>
      <c r="J25" s="59"/>
      <c r="K25" s="65"/>
      <c r="L25" s="59"/>
      <c r="M25" s="59"/>
      <c r="N25" s="167"/>
      <c r="O25" s="59"/>
    </row>
    <row r="26" spans="1:15" x14ac:dyDescent="0.35">
      <c r="A26" s="59"/>
      <c r="B26" s="59"/>
      <c r="C26" s="59"/>
      <c r="D26" s="59"/>
      <c r="E26" s="65"/>
      <c r="F26" s="59"/>
      <c r="G26" s="59"/>
      <c r="H26" s="65"/>
      <c r="I26" s="59"/>
      <c r="J26" s="59"/>
      <c r="K26" s="65"/>
      <c r="L26" s="59"/>
      <c r="M26" s="59"/>
      <c r="N26" s="167"/>
      <c r="O26" s="59"/>
    </row>
    <row r="27" spans="1:15" x14ac:dyDescent="0.35">
      <c r="A27" s="59"/>
      <c r="B27" s="59"/>
      <c r="C27" s="59"/>
      <c r="D27" s="59"/>
      <c r="E27" s="65"/>
      <c r="F27" s="59"/>
      <c r="G27" s="59"/>
      <c r="H27" s="65"/>
      <c r="I27" s="59"/>
      <c r="J27" s="59"/>
      <c r="K27" s="65"/>
      <c r="L27" s="59"/>
      <c r="M27" s="59"/>
      <c r="N27" s="167"/>
      <c r="O27" s="59"/>
    </row>
    <row r="28" spans="1:15" x14ac:dyDescent="0.35">
      <c r="A28" s="59"/>
      <c r="B28" s="59"/>
      <c r="C28" s="59"/>
      <c r="D28" s="59"/>
      <c r="E28" s="65"/>
      <c r="F28" s="59"/>
      <c r="G28" s="59"/>
      <c r="H28" s="65"/>
      <c r="I28" s="59"/>
      <c r="J28" s="59"/>
      <c r="K28" s="65"/>
      <c r="L28" s="59"/>
      <c r="M28" s="59"/>
      <c r="N28" s="167"/>
      <c r="O28" s="59"/>
    </row>
  </sheetData>
  <sheetProtection password="D6A7" sheet="1" objects="1" scenarios="1"/>
  <phoneticPr fontId="19" type="noConversion"/>
  <printOptions gridLines="1" gridLinesSet="0"/>
  <pageMargins left="0.75" right="0.75" top="1" bottom="1" header="0.4921259845" footer="0.4921259845"/>
  <pageSetup scale="87" orientation="landscape" horizontalDpi="4294967292" verticalDpi="1200" r:id="rId1"/>
  <headerFooter alignWithMargins="0">
    <oddHeader>&amp;A</oddHeader>
    <oddFooter>Page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Button 10">
              <controlPr defaultSize="0" autoFill="0" autoLine="0" autoPict="0" macro="[0]!COPY2">
                <anchor moveWithCells="1" sizeWithCells="1">
                  <from>
                    <xdr:col>5</xdr:col>
                    <xdr:colOff>82550</xdr:colOff>
                    <xdr:row>9</xdr:row>
                    <xdr:rowOff>63500</xdr:rowOff>
                  </from>
                  <to>
                    <xdr:col>6</xdr:col>
                    <xdr:colOff>469900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5" name="Button 1">
              <controlPr defaultSize="0" autoFill="0" autoLine="0" autoPict="0" macro="[0]!COPY1">
                <anchor moveWithCells="1" sizeWithCells="1">
                  <from>
                    <xdr:col>2</xdr:col>
                    <xdr:colOff>82550</xdr:colOff>
                    <xdr:row>9</xdr:row>
                    <xdr:rowOff>63500</xdr:rowOff>
                  </from>
                  <to>
                    <xdr:col>3</xdr:col>
                    <xdr:colOff>469900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Button 11">
              <controlPr defaultSize="0" autoFill="0" autoLine="0" autoPict="0" macro="[0]!COPY3">
                <anchor moveWithCells="1" sizeWithCells="1">
                  <from>
                    <xdr:col>8</xdr:col>
                    <xdr:colOff>82550</xdr:colOff>
                    <xdr:row>9</xdr:row>
                    <xdr:rowOff>63500</xdr:rowOff>
                  </from>
                  <to>
                    <xdr:col>9</xdr:col>
                    <xdr:colOff>469900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Button 12">
              <controlPr defaultSize="0" autoFill="0" autoLine="0" autoPict="0" macro="[0]!COPY4">
                <anchor moveWithCells="1" sizeWithCells="1">
                  <from>
                    <xdr:col>11</xdr:col>
                    <xdr:colOff>82550</xdr:colOff>
                    <xdr:row>9</xdr:row>
                    <xdr:rowOff>63500</xdr:rowOff>
                  </from>
                  <to>
                    <xdr:col>12</xdr:col>
                    <xdr:colOff>469900</xdr:colOff>
                    <xdr:row>10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I25"/>
  <sheetViews>
    <sheetView workbookViewId="0">
      <selection activeCell="M17" sqref="M17"/>
    </sheetView>
  </sheetViews>
  <sheetFormatPr defaultColWidth="11.61328125" defaultRowHeight="15.5" x14ac:dyDescent="0.35"/>
  <cols>
    <col min="1" max="1" width="12.61328125" customWidth="1"/>
    <col min="2" max="2" width="9.23046875" customWidth="1"/>
    <col min="3" max="3" width="5.61328125" hidden="1" customWidth="1"/>
    <col min="4" max="5" width="7.921875" customWidth="1"/>
    <col min="6" max="6" width="7.921875" hidden="1" customWidth="1"/>
    <col min="7" max="8" width="7.921875" customWidth="1"/>
  </cols>
  <sheetData>
    <row r="1" spans="1:9" ht="20.5" x14ac:dyDescent="0.45">
      <c r="A1" s="231" t="s">
        <v>109</v>
      </c>
      <c r="B1" s="231"/>
      <c r="C1" s="231"/>
      <c r="D1" s="232"/>
      <c r="E1" s="232"/>
      <c r="F1" s="232"/>
      <c r="G1" s="232"/>
      <c r="H1" s="232"/>
      <c r="I1" s="233"/>
    </row>
    <row r="2" spans="1:9" x14ac:dyDescent="0.35">
      <c r="A2" s="233"/>
      <c r="B2" s="233"/>
      <c r="C2" s="233"/>
      <c r="D2" s="233"/>
      <c r="E2" s="233"/>
      <c r="F2" s="233"/>
      <c r="G2" s="233"/>
      <c r="H2" s="233"/>
      <c r="I2" s="233"/>
    </row>
    <row r="3" spans="1:9" x14ac:dyDescent="0.35">
      <c r="A3" s="234" t="s">
        <v>110</v>
      </c>
      <c r="B3" s="235"/>
      <c r="C3" s="235"/>
      <c r="D3" s="236" t="s">
        <v>31</v>
      </c>
      <c r="E3" s="237"/>
      <c r="F3" s="238"/>
      <c r="G3" s="236" t="s">
        <v>33</v>
      </c>
      <c r="H3" s="237"/>
      <c r="I3" s="233"/>
    </row>
    <row r="4" spans="1:9" x14ac:dyDescent="0.35">
      <c r="A4" s="239" t="s">
        <v>111</v>
      </c>
      <c r="B4" s="240"/>
      <c r="C4" s="240"/>
      <c r="D4" s="241"/>
      <c r="E4" s="242"/>
      <c r="F4" s="243"/>
      <c r="G4" s="241"/>
      <c r="H4" s="242"/>
      <c r="I4" s="233"/>
    </row>
    <row r="5" spans="1:9" x14ac:dyDescent="0.35">
      <c r="A5" s="244">
        <v>160</v>
      </c>
      <c r="B5" s="245">
        <v>6</v>
      </c>
      <c r="C5" s="246">
        <v>161</v>
      </c>
      <c r="D5" s="247" t="s">
        <v>112</v>
      </c>
      <c r="E5" s="248" t="s">
        <v>113</v>
      </c>
      <c r="F5" s="249">
        <f>160+1</f>
        <v>161</v>
      </c>
      <c r="G5" s="250" t="s">
        <v>114</v>
      </c>
      <c r="H5" s="251" t="s">
        <v>115</v>
      </c>
      <c r="I5" s="233"/>
    </row>
    <row r="6" spans="1:9" hidden="1" x14ac:dyDescent="0.35">
      <c r="A6" s="244">
        <v>160</v>
      </c>
      <c r="B6" s="252"/>
      <c r="C6" s="249">
        <v>162</v>
      </c>
      <c r="D6" s="253" t="s">
        <v>116</v>
      </c>
      <c r="E6" s="254" t="s">
        <v>116</v>
      </c>
      <c r="F6" s="249">
        <f>161+1</f>
        <v>162</v>
      </c>
      <c r="G6" s="253" t="s">
        <v>116</v>
      </c>
      <c r="H6" s="254" t="s">
        <v>116</v>
      </c>
      <c r="I6" s="233"/>
    </row>
    <row r="7" spans="1:9" hidden="1" x14ac:dyDescent="0.35">
      <c r="A7" s="244">
        <v>160</v>
      </c>
      <c r="B7" s="252"/>
      <c r="C7" s="249">
        <v>163</v>
      </c>
      <c r="D7" s="253" t="s">
        <v>116</v>
      </c>
      <c r="E7" s="254" t="s">
        <v>116</v>
      </c>
      <c r="F7" s="249">
        <f>162+1</f>
        <v>163</v>
      </c>
      <c r="G7" s="253" t="s">
        <v>116</v>
      </c>
      <c r="H7" s="254" t="s">
        <v>116</v>
      </c>
      <c r="I7" s="233"/>
    </row>
    <row r="8" spans="1:9" hidden="1" x14ac:dyDescent="0.35">
      <c r="A8" s="244">
        <v>160</v>
      </c>
      <c r="B8" s="252"/>
      <c r="C8" s="249">
        <v>164</v>
      </c>
      <c r="D8" s="253" t="s">
        <v>116</v>
      </c>
      <c r="E8" s="254" t="s">
        <v>116</v>
      </c>
      <c r="F8" s="249">
        <f>163+1</f>
        <v>164</v>
      </c>
      <c r="G8" s="253" t="s">
        <v>116</v>
      </c>
      <c r="H8" s="254" t="s">
        <v>116</v>
      </c>
      <c r="I8" s="233"/>
    </row>
    <row r="9" spans="1:9" x14ac:dyDescent="0.35">
      <c r="A9" s="244">
        <v>180</v>
      </c>
      <c r="B9" s="252">
        <v>7</v>
      </c>
      <c r="C9" s="249">
        <v>181</v>
      </c>
      <c r="D9" s="247" t="s">
        <v>117</v>
      </c>
      <c r="E9" s="248" t="s">
        <v>118</v>
      </c>
      <c r="F9" s="249">
        <f>180+1</f>
        <v>181</v>
      </c>
      <c r="G9" s="253" t="s">
        <v>119</v>
      </c>
      <c r="H9" s="254" t="s">
        <v>120</v>
      </c>
      <c r="I9" s="233"/>
    </row>
    <row r="10" spans="1:9" hidden="1" x14ac:dyDescent="0.35">
      <c r="A10" s="244">
        <v>180</v>
      </c>
      <c r="B10" s="252"/>
      <c r="C10" s="249">
        <v>182</v>
      </c>
      <c r="D10" s="253" t="s">
        <v>116</v>
      </c>
      <c r="E10" s="254" t="s">
        <v>116</v>
      </c>
      <c r="F10" s="249">
        <f>181+1</f>
        <v>182</v>
      </c>
      <c r="G10" s="253" t="s">
        <v>116</v>
      </c>
      <c r="H10" s="254" t="s">
        <v>116</v>
      </c>
      <c r="I10" s="233"/>
    </row>
    <row r="11" spans="1:9" hidden="1" x14ac:dyDescent="0.35">
      <c r="A11" s="244">
        <v>180</v>
      </c>
      <c r="B11" s="252"/>
      <c r="C11" s="249">
        <v>183</v>
      </c>
      <c r="D11" s="253" t="s">
        <v>116</v>
      </c>
      <c r="E11" s="254" t="s">
        <v>116</v>
      </c>
      <c r="F11" s="249">
        <f>182+1</f>
        <v>183</v>
      </c>
      <c r="G11" s="253" t="s">
        <v>116</v>
      </c>
      <c r="H11" s="254" t="s">
        <v>116</v>
      </c>
      <c r="I11" s="233"/>
    </row>
    <row r="12" spans="1:9" hidden="1" x14ac:dyDescent="0.35">
      <c r="A12" s="244">
        <v>180</v>
      </c>
      <c r="B12" s="252"/>
      <c r="C12" s="249">
        <v>184</v>
      </c>
      <c r="D12" s="253" t="s">
        <v>116</v>
      </c>
      <c r="E12" s="254" t="s">
        <v>116</v>
      </c>
      <c r="F12" s="249">
        <f>183+1</f>
        <v>184</v>
      </c>
      <c r="G12" s="253" t="s">
        <v>116</v>
      </c>
      <c r="H12" s="254" t="s">
        <v>116</v>
      </c>
      <c r="I12" s="233"/>
    </row>
    <row r="13" spans="1:9" x14ac:dyDescent="0.35">
      <c r="A13" s="244">
        <v>200</v>
      </c>
      <c r="B13" s="252">
        <v>8</v>
      </c>
      <c r="C13" s="249">
        <v>201</v>
      </c>
      <c r="D13" s="247" t="s">
        <v>49</v>
      </c>
      <c r="E13" s="248" t="s">
        <v>121</v>
      </c>
      <c r="F13" s="249">
        <f>200+1</f>
        <v>201</v>
      </c>
      <c r="G13" s="253" t="s">
        <v>122</v>
      </c>
      <c r="H13" s="254" t="s">
        <v>123</v>
      </c>
      <c r="I13" s="233"/>
    </row>
    <row r="14" spans="1:9" hidden="1" x14ac:dyDescent="0.35">
      <c r="A14" s="244">
        <v>200</v>
      </c>
      <c r="B14" s="252"/>
      <c r="C14" s="249">
        <v>202</v>
      </c>
      <c r="D14" s="253" t="s">
        <v>116</v>
      </c>
      <c r="E14" s="254" t="s">
        <v>116</v>
      </c>
      <c r="F14" s="249">
        <v>202</v>
      </c>
      <c r="G14" s="253" t="s">
        <v>116</v>
      </c>
      <c r="H14" s="254" t="s">
        <v>116</v>
      </c>
      <c r="I14" s="233"/>
    </row>
    <row r="15" spans="1:9" hidden="1" x14ac:dyDescent="0.35">
      <c r="A15" s="244">
        <v>200</v>
      </c>
      <c r="B15" s="252"/>
      <c r="C15" s="249">
        <v>203</v>
      </c>
      <c r="D15" s="253" t="s">
        <v>116</v>
      </c>
      <c r="E15" s="254" t="s">
        <v>116</v>
      </c>
      <c r="F15" s="249">
        <v>203</v>
      </c>
      <c r="G15" s="253" t="s">
        <v>116</v>
      </c>
      <c r="H15" s="254" t="s">
        <v>116</v>
      </c>
      <c r="I15" s="233"/>
    </row>
    <row r="16" spans="1:9" hidden="1" x14ac:dyDescent="0.35">
      <c r="A16" s="244">
        <v>200</v>
      </c>
      <c r="B16" s="252"/>
      <c r="C16" s="249">
        <v>204</v>
      </c>
      <c r="D16" s="253" t="s">
        <v>116</v>
      </c>
      <c r="E16" s="254" t="s">
        <v>116</v>
      </c>
      <c r="F16" s="249">
        <v>204</v>
      </c>
      <c r="G16" s="253" t="s">
        <v>116</v>
      </c>
      <c r="H16" s="254" t="s">
        <v>116</v>
      </c>
      <c r="I16" s="233"/>
    </row>
    <row r="17" spans="1:9" x14ac:dyDescent="0.35">
      <c r="A17" s="244">
        <v>220</v>
      </c>
      <c r="B17" s="252">
        <v>9</v>
      </c>
      <c r="C17" s="249">
        <v>221</v>
      </c>
      <c r="D17" s="247" t="s">
        <v>124</v>
      </c>
      <c r="E17" s="248" t="s">
        <v>125</v>
      </c>
      <c r="F17" s="249">
        <f>220+1</f>
        <v>221</v>
      </c>
      <c r="G17" s="253" t="s">
        <v>126</v>
      </c>
      <c r="H17" s="254" t="s">
        <v>127</v>
      </c>
      <c r="I17" s="233"/>
    </row>
    <row r="18" spans="1:9" x14ac:dyDescent="0.35">
      <c r="A18" s="244">
        <v>220</v>
      </c>
      <c r="B18" s="252">
        <v>9</v>
      </c>
      <c r="C18" s="249">
        <v>222</v>
      </c>
      <c r="D18" s="247" t="s">
        <v>124</v>
      </c>
      <c r="E18" s="248" t="s">
        <v>128</v>
      </c>
      <c r="F18" s="249">
        <f>+F17+1</f>
        <v>222</v>
      </c>
      <c r="G18" s="253" t="s">
        <v>129</v>
      </c>
      <c r="H18" s="254" t="s">
        <v>127</v>
      </c>
      <c r="I18" s="233"/>
    </row>
    <row r="19" spans="1:9" x14ac:dyDescent="0.35">
      <c r="A19" s="244">
        <v>220</v>
      </c>
      <c r="B19" s="252">
        <v>9</v>
      </c>
      <c r="C19" s="249">
        <v>223</v>
      </c>
      <c r="D19" s="247" t="s">
        <v>130</v>
      </c>
      <c r="E19" s="248" t="s">
        <v>125</v>
      </c>
      <c r="F19" s="249">
        <f>+F18+1</f>
        <v>223</v>
      </c>
      <c r="G19" s="253" t="s">
        <v>116</v>
      </c>
      <c r="H19" s="254" t="s">
        <v>116</v>
      </c>
      <c r="I19" s="233"/>
    </row>
    <row r="20" spans="1:9" x14ac:dyDescent="0.35">
      <c r="A20" s="255">
        <v>220</v>
      </c>
      <c r="B20" s="256">
        <v>9</v>
      </c>
      <c r="C20" s="257">
        <v>224</v>
      </c>
      <c r="D20" s="258" t="s">
        <v>130</v>
      </c>
      <c r="E20" s="259" t="s">
        <v>128</v>
      </c>
      <c r="F20" s="259">
        <f>+F19+1</f>
        <v>224</v>
      </c>
      <c r="G20" s="260" t="s">
        <v>116</v>
      </c>
      <c r="H20" s="261" t="s">
        <v>116</v>
      </c>
      <c r="I20" s="233"/>
    </row>
    <row r="21" spans="1:9" x14ac:dyDescent="0.35">
      <c r="A21" s="255">
        <v>250</v>
      </c>
      <c r="B21" s="256" t="s">
        <v>131</v>
      </c>
      <c r="C21" s="257">
        <v>251</v>
      </c>
      <c r="D21" s="260" t="s">
        <v>116</v>
      </c>
      <c r="E21" s="261" t="s">
        <v>116</v>
      </c>
      <c r="F21" s="261">
        <v>251</v>
      </c>
      <c r="G21" s="260" t="s">
        <v>116</v>
      </c>
      <c r="H21" s="261" t="s">
        <v>116</v>
      </c>
      <c r="I21" s="233"/>
    </row>
    <row r="22" spans="1:9" x14ac:dyDescent="0.35">
      <c r="A22" s="233"/>
      <c r="B22" s="233"/>
      <c r="C22" s="262"/>
      <c r="D22" s="233"/>
      <c r="E22" s="233"/>
      <c r="F22" s="262"/>
      <c r="G22" s="233"/>
      <c r="H22" s="233"/>
      <c r="I22" s="233"/>
    </row>
    <row r="23" spans="1:9" x14ac:dyDescent="0.35">
      <c r="A23" s="233"/>
      <c r="B23" s="233"/>
      <c r="C23" s="262"/>
      <c r="D23" s="233"/>
      <c r="E23" s="233"/>
      <c r="F23" s="262"/>
      <c r="G23" s="233"/>
      <c r="H23" s="233"/>
      <c r="I23" s="233"/>
    </row>
    <row r="24" spans="1:9" x14ac:dyDescent="0.35">
      <c r="C24" s="126"/>
      <c r="F24" s="126"/>
    </row>
    <row r="25" spans="1:9" x14ac:dyDescent="0.35">
      <c r="C25" s="126"/>
      <c r="F25" s="126"/>
    </row>
  </sheetData>
  <phoneticPr fontId="19" type="noConversion"/>
  <printOptions gridLines="1" gridLinesSet="0"/>
  <pageMargins left="0.75" right="0.75" top="1" bottom="1" header="0.4921259845" footer="0.492125984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AL58"/>
  <sheetViews>
    <sheetView zoomScale="70" workbookViewId="0">
      <selection activeCell="AC14" sqref="AC14"/>
    </sheetView>
  </sheetViews>
  <sheetFormatPr defaultColWidth="11.61328125" defaultRowHeight="15.5" x14ac:dyDescent="0.35"/>
  <cols>
    <col min="1" max="1" width="1.3046875" style="1" customWidth="1"/>
    <col min="2" max="2" width="11.3046875" style="1" customWidth="1"/>
    <col min="3" max="3" width="10.3046875" style="1" customWidth="1"/>
    <col min="4" max="4" width="11.69140625" style="1" customWidth="1"/>
    <col min="5" max="5" width="10.765625" style="1" customWidth="1"/>
    <col min="6" max="6" width="1.3046875" style="1" customWidth="1"/>
    <col min="7" max="9" width="0" style="1" hidden="1" customWidth="1"/>
    <col min="10" max="10" width="1.921875" style="120" customWidth="1"/>
    <col min="11" max="26" width="0" style="1" hidden="1" customWidth="1"/>
    <col min="27" max="27" width="1.3828125" style="1" customWidth="1"/>
    <col min="28" max="28" width="14" style="1" customWidth="1"/>
    <col min="29" max="31" width="9.69140625" style="1" customWidth="1"/>
    <col min="32" max="32" width="4.921875" style="1" hidden="1" customWidth="1"/>
    <col min="33" max="35" width="0" style="1" hidden="1" customWidth="1"/>
    <col min="36" max="38" width="9.69140625" style="1" customWidth="1"/>
  </cols>
  <sheetData>
    <row r="1" spans="1:35" ht="25.5" x14ac:dyDescent="0.35">
      <c r="A1" s="121"/>
      <c r="B1" s="75" t="s">
        <v>132</v>
      </c>
      <c r="C1" s="75"/>
      <c r="D1" s="75"/>
      <c r="E1" s="75"/>
      <c r="F1" s="76"/>
      <c r="G1" s="76"/>
      <c r="H1" s="76"/>
      <c r="I1" s="76"/>
      <c r="J1" s="77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5" t="s">
        <v>133</v>
      </c>
      <c r="AC1" s="78"/>
      <c r="AD1" s="78"/>
      <c r="AE1" s="79"/>
    </row>
    <row r="2" spans="1:35" ht="20.5" x14ac:dyDescent="0.45">
      <c r="B2" s="80" t="s">
        <v>0</v>
      </c>
      <c r="C2" s="81"/>
      <c r="D2" s="81"/>
      <c r="E2" s="82"/>
      <c r="F2" s="83"/>
      <c r="G2" s="83"/>
      <c r="H2" s="83"/>
      <c r="I2" s="84"/>
      <c r="J2" s="85"/>
      <c r="AB2" s="80" t="s">
        <v>0</v>
      </c>
      <c r="AC2" s="81"/>
      <c r="AD2" s="81"/>
      <c r="AE2" s="86"/>
      <c r="AF2" s="87"/>
      <c r="AG2" s="83"/>
      <c r="AH2" s="83"/>
      <c r="AI2" s="84"/>
    </row>
    <row r="3" spans="1:35" ht="16" thickBot="1" x14ac:dyDescent="0.4">
      <c r="B3" s="88"/>
      <c r="C3" s="89"/>
      <c r="D3" s="89"/>
      <c r="E3" s="90"/>
      <c r="F3" s="15"/>
      <c r="G3" s="15"/>
      <c r="H3" s="15"/>
      <c r="I3" s="91"/>
      <c r="J3" s="85"/>
      <c r="AB3" s="88"/>
      <c r="AC3" s="89"/>
      <c r="AD3" s="89"/>
      <c r="AE3" s="92"/>
      <c r="AF3" s="93"/>
      <c r="AG3" s="15"/>
      <c r="AH3" s="15"/>
      <c r="AI3" s="91"/>
    </row>
    <row r="4" spans="1:35" ht="31.5" thickBot="1" x14ac:dyDescent="0.4">
      <c r="B4" s="94"/>
      <c r="C4" s="95" t="s">
        <v>5</v>
      </c>
      <c r="D4" s="95" t="s">
        <v>6</v>
      </c>
      <c r="E4" s="96" t="s">
        <v>7</v>
      </c>
      <c r="F4" s="15"/>
      <c r="G4" s="15"/>
      <c r="H4" s="15"/>
      <c r="I4" s="91"/>
      <c r="J4" s="85"/>
      <c r="AB4" s="94"/>
      <c r="AC4" s="95" t="s">
        <v>5</v>
      </c>
      <c r="AD4" s="95" t="s">
        <v>6</v>
      </c>
      <c r="AE4" s="97"/>
      <c r="AF4" s="93"/>
      <c r="AG4" s="15"/>
      <c r="AH4" s="15"/>
      <c r="AI4" s="91"/>
    </row>
    <row r="5" spans="1:35" ht="16" thickBot="1" x14ac:dyDescent="0.4">
      <c r="B5" s="93"/>
      <c r="C5" s="98" t="str">
        <f>+'BEST COMBINATION'!C14</f>
        <v>322</v>
      </c>
      <c r="D5" s="99" t="str">
        <f>+'BEST COMBINATION'!D14</f>
        <v>822</v>
      </c>
      <c r="E5" s="14"/>
      <c r="F5" s="15"/>
      <c r="G5" s="15">
        <f>ATAN((C6-C7-$C11)/2/$C8)</f>
        <v>3.4077711587007772E-2</v>
      </c>
      <c r="H5" s="15">
        <f>ATAN((D6-D7-$C11)/2/$C8)</f>
        <v>1.2953820849162785E-2</v>
      </c>
      <c r="I5" s="91"/>
      <c r="J5" s="85"/>
      <c r="AB5" s="93"/>
      <c r="AC5" s="98" t="str">
        <f>+'BEST COMBINATION'!F14</f>
        <v>322</v>
      </c>
      <c r="AD5" s="99" t="str">
        <f>+'BEST COMBINATION'!G14</f>
        <v>622</v>
      </c>
      <c r="AE5" s="103"/>
      <c r="AF5" s="93"/>
      <c r="AG5" s="15">
        <f>ATAN((AC6-AC7-$AC11)/2/$AC8)</f>
        <v>3.4077711587007772E-2</v>
      </c>
      <c r="AH5" s="15">
        <f>ATAN((AD6-AD7-$AC11)/2/$AC8)</f>
        <v>1.7043803994997421E-2</v>
      </c>
      <c r="AI5" s="91"/>
    </row>
    <row r="6" spans="1:35" ht="16" thickBot="1" x14ac:dyDescent="0.4">
      <c r="B6" s="100" t="s">
        <v>16</v>
      </c>
      <c r="C6" s="8">
        <f>VLOOKUP(C5,SHAPE,3)</f>
        <v>103</v>
      </c>
      <c r="D6" s="8">
        <f>VLOOKUP(D5,SHAPE,3)</f>
        <v>103</v>
      </c>
      <c r="E6" s="101">
        <v>6</v>
      </c>
      <c r="F6" s="15"/>
      <c r="G6" s="15">
        <f>($C10+C6)/SIN(G5)</f>
        <v>3023.0885053387233</v>
      </c>
      <c r="H6" s="15">
        <f>($C10+D6)/SIN(H5)</f>
        <v>7951.5443240850082</v>
      </c>
      <c r="I6" s="91"/>
      <c r="J6" s="85"/>
      <c r="AB6" s="100" t="s">
        <v>16</v>
      </c>
      <c r="AC6" s="8">
        <f>VLOOKUP(AC5,SHAPE,3)</f>
        <v>103</v>
      </c>
      <c r="AD6" s="8">
        <f>VLOOKUP(AD5,SHAPE,3)</f>
        <v>103</v>
      </c>
      <c r="AE6" s="103"/>
      <c r="AF6" s="93"/>
      <c r="AG6" s="15">
        <f>($AC10+AC6)/SIN(AG5)</f>
        <v>3023.0885053387233</v>
      </c>
      <c r="AH6" s="15">
        <f>($AC10+AD6)/SIN(AH5)</f>
        <v>6043.5444438213954</v>
      </c>
      <c r="AI6" s="91"/>
    </row>
    <row r="7" spans="1:35" x14ac:dyDescent="0.35">
      <c r="B7" s="100" t="s">
        <v>22</v>
      </c>
      <c r="C7" s="8">
        <f>VLOOKUP(C5,SHAPE,4)</f>
        <v>88</v>
      </c>
      <c r="D7" s="8">
        <f>VLOOKUP(D5,SHAPE,4)</f>
        <v>97.3</v>
      </c>
      <c r="E7" s="102"/>
      <c r="F7" s="15"/>
      <c r="G7" s="15">
        <f>PI()/G5</f>
        <v>92.189073364525285</v>
      </c>
      <c r="H7" s="15">
        <f>PI()/H5</f>
        <v>242.5224719541213</v>
      </c>
      <c r="I7" s="91"/>
      <c r="J7" s="85"/>
      <c r="AB7" s="100" t="s">
        <v>22</v>
      </c>
      <c r="AC7" s="8">
        <f>VLOOKUP(AC5,SHAPE,4)</f>
        <v>88</v>
      </c>
      <c r="AD7" s="8">
        <f>VLOOKUP(AD5,SHAPE,4)</f>
        <v>95.5</v>
      </c>
      <c r="AE7" s="103"/>
      <c r="AF7" s="93"/>
      <c r="AG7" s="15">
        <f>PI()/AG5</f>
        <v>92.189073364525285</v>
      </c>
      <c r="AH7" s="15">
        <f>PI()/AH5</f>
        <v>184.32461758606775</v>
      </c>
      <c r="AI7" s="91"/>
    </row>
    <row r="8" spans="1:35" x14ac:dyDescent="0.35">
      <c r="B8" s="100" t="s">
        <v>26</v>
      </c>
      <c r="C8" s="8">
        <f>VLOOKUP(C5,SHAPE,5)</f>
        <v>220</v>
      </c>
      <c r="D8" s="8">
        <f>VLOOKUP(D5,SHAPE,5)</f>
        <v>220</v>
      </c>
      <c r="E8" s="102"/>
      <c r="F8" s="15"/>
      <c r="G8" s="15">
        <f>G6/304.8</f>
        <v>9.9182693744708761</v>
      </c>
      <c r="H8" s="15"/>
      <c r="I8" s="91"/>
      <c r="J8" s="85"/>
      <c r="AB8" s="100" t="s">
        <v>26</v>
      </c>
      <c r="AC8" s="8">
        <f>VLOOKUP(AC5,SHAPE,5)</f>
        <v>220</v>
      </c>
      <c r="AD8" s="8">
        <f>VLOOKUP(AD5,SHAPE,5)</f>
        <v>220</v>
      </c>
      <c r="AE8" s="103"/>
      <c r="AF8" s="93"/>
      <c r="AG8" s="15">
        <f>AG6/304.8</f>
        <v>9.9182693744708761</v>
      </c>
      <c r="AH8" s="15"/>
      <c r="AI8" s="91"/>
    </row>
    <row r="9" spans="1:35" x14ac:dyDescent="0.35">
      <c r="B9" s="104" t="str">
        <f>IF(C8=D8,"","SHAPE WITH DIFFERENT THICKNESS ???")</f>
        <v/>
      </c>
      <c r="C9" s="9"/>
      <c r="D9" s="10"/>
      <c r="E9" s="105"/>
      <c r="F9" s="15"/>
      <c r="G9" s="15"/>
      <c r="H9" s="15"/>
      <c r="I9" s="91"/>
      <c r="J9" s="85"/>
      <c r="AB9" s="104" t="str">
        <f>IF(AC8=AD8,"","SHAPE WITH DIFFERENT THICKNESS ???")</f>
        <v/>
      </c>
      <c r="AC9" s="9"/>
      <c r="AD9" s="10"/>
      <c r="AE9" s="106"/>
      <c r="AF9" s="93"/>
      <c r="AG9" s="15"/>
      <c r="AH9" s="15"/>
      <c r="AI9" s="91"/>
    </row>
    <row r="10" spans="1:35" x14ac:dyDescent="0.35">
      <c r="B10" s="107" t="s">
        <v>39</v>
      </c>
      <c r="C10" s="108">
        <f>+'BEST COMBINATION'!N3</f>
        <v>0</v>
      </c>
      <c r="D10" s="108"/>
      <c r="E10" s="14"/>
      <c r="F10" s="15"/>
      <c r="G10" s="15"/>
      <c r="H10" s="15"/>
      <c r="I10" s="91"/>
      <c r="J10" s="85"/>
      <c r="AB10" s="107" t="s">
        <v>39</v>
      </c>
      <c r="AC10" s="108">
        <f>+'BEST COMBINATION'!N3</f>
        <v>0</v>
      </c>
      <c r="AD10" s="108"/>
      <c r="AE10" s="91"/>
      <c r="AF10" s="93"/>
      <c r="AG10" s="15"/>
      <c r="AH10" s="15"/>
      <c r="AI10" s="91"/>
    </row>
    <row r="11" spans="1:35" x14ac:dyDescent="0.35">
      <c r="B11" s="100" t="s">
        <v>47</v>
      </c>
      <c r="C11" s="108">
        <f>+'BEST COMBINATION'!N4</f>
        <v>0</v>
      </c>
      <c r="D11" s="108"/>
      <c r="E11" s="14"/>
      <c r="F11" s="15"/>
      <c r="G11" s="15"/>
      <c r="H11" s="15"/>
      <c r="I11" s="91"/>
      <c r="J11" s="85"/>
      <c r="AB11" s="100" t="s">
        <v>47</v>
      </c>
      <c r="AC11" s="108">
        <f>+'BEST COMBINATION'!N4</f>
        <v>0</v>
      </c>
      <c r="AD11" s="108"/>
      <c r="AE11" s="91"/>
      <c r="AF11" s="93"/>
      <c r="AG11" s="15"/>
      <c r="AH11" s="15"/>
      <c r="AI11" s="91"/>
    </row>
    <row r="12" spans="1:35" x14ac:dyDescent="0.35">
      <c r="B12" s="109" t="s">
        <v>57</v>
      </c>
      <c r="C12" s="11" t="s">
        <v>58</v>
      </c>
      <c r="D12" s="11" t="s">
        <v>58</v>
      </c>
      <c r="E12" s="12" t="s">
        <v>59</v>
      </c>
      <c r="F12" s="15"/>
      <c r="G12" s="15"/>
      <c r="H12" s="15"/>
      <c r="I12" s="91"/>
      <c r="J12" s="85"/>
      <c r="AB12" s="109" t="s">
        <v>57</v>
      </c>
      <c r="AC12" s="11" t="s">
        <v>58</v>
      </c>
      <c r="AD12" s="11" t="s">
        <v>58</v>
      </c>
      <c r="AE12" s="110" t="s">
        <v>59</v>
      </c>
      <c r="AF12" s="93"/>
      <c r="AG12" s="15"/>
      <c r="AH12" s="15"/>
      <c r="AI12" s="91"/>
    </row>
    <row r="13" spans="1:35" ht="16" thickBot="1" x14ac:dyDescent="0.4">
      <c r="B13" s="100" t="s">
        <v>68</v>
      </c>
      <c r="C13" s="13"/>
      <c r="D13" s="13"/>
      <c r="E13" s="14"/>
      <c r="F13" s="15"/>
      <c r="G13" s="15"/>
      <c r="H13" s="15"/>
      <c r="I13" s="91"/>
      <c r="J13" s="85"/>
      <c r="AB13" s="100" t="s">
        <v>68</v>
      </c>
      <c r="AC13" s="13"/>
      <c r="AD13" s="13"/>
      <c r="AE13" s="91"/>
      <c r="AF13" s="93"/>
      <c r="AG13" s="15"/>
      <c r="AH13" s="15"/>
      <c r="AI13" s="91"/>
    </row>
    <row r="14" spans="1:35" x14ac:dyDescent="0.35">
      <c r="B14" s="111">
        <f>+'BEST COMBINATION'!B3</f>
        <v>18.5</v>
      </c>
      <c r="C14" s="112">
        <f>ROUND($G14+0.105,0)</f>
        <v>43</v>
      </c>
      <c r="D14" s="112">
        <f>ROUND($H14+0.105,0)</f>
        <v>129</v>
      </c>
      <c r="E14" s="113">
        <f>+C14+D14</f>
        <v>172</v>
      </c>
      <c r="F14" s="114"/>
      <c r="G14" s="114">
        <f t="shared" ref="G14:G29" si="0">ROUND((H$6-304.8*$B14)/(H$6-G$6)*G$7,1)</f>
        <v>43.3</v>
      </c>
      <c r="H14" s="114">
        <f t="shared" ref="H14:H29" si="1">ROUND((304.8*$B14-G$6)/(H$6-G$6)*H$7,1)</f>
        <v>128.69999999999999</v>
      </c>
      <c r="I14" s="115">
        <f t="shared" ref="I14:I29" si="2">H14+G14</f>
        <v>172</v>
      </c>
      <c r="J14" s="85"/>
      <c r="AB14" s="111">
        <f>+'BEST COMBINATION'!B3</f>
        <v>18.5</v>
      </c>
      <c r="AC14" s="112">
        <f>ROUND($AG14+0.105,0)</f>
        <v>13</v>
      </c>
      <c r="AD14" s="112">
        <f>ROUND($AH14+0.105,0)</f>
        <v>160</v>
      </c>
      <c r="AE14" s="116">
        <f>+AC14+AD14</f>
        <v>173</v>
      </c>
      <c r="AF14" s="117"/>
      <c r="AG14" s="114">
        <f>ROUND((AH$6-304.8*$AB14)/(AH$6-AG$6)*AG$7,1)</f>
        <v>12.4</v>
      </c>
      <c r="AH14" s="114">
        <f>ROUND((304.8*$AB14-AG$6)/(AH$6-AG$6)*AH$7,1)</f>
        <v>159.6</v>
      </c>
      <c r="AI14" s="115">
        <f>AH14+AG14</f>
        <v>172</v>
      </c>
    </row>
    <row r="15" spans="1:35" hidden="1" x14ac:dyDescent="0.35">
      <c r="B15" s="7">
        <f>B14+E$6/12</f>
        <v>19</v>
      </c>
      <c r="C15" s="15">
        <f t="shared" ref="C15:C30" si="3">ROUND($G15+0.105,0)</f>
        <v>41</v>
      </c>
      <c r="D15" s="15">
        <f t="shared" ref="D15:D30" si="4">ROUND($H15+0.105,0)</f>
        <v>136</v>
      </c>
      <c r="E15" s="14">
        <f t="shared" ref="E15:E30" si="5">C15+D15</f>
        <v>177</v>
      </c>
      <c r="F15" s="2"/>
      <c r="G15" s="2">
        <f t="shared" si="0"/>
        <v>40.4</v>
      </c>
      <c r="H15" s="2">
        <f t="shared" si="1"/>
        <v>136.19999999999999</v>
      </c>
      <c r="I15" s="2">
        <f t="shared" si="2"/>
        <v>176.6</v>
      </c>
      <c r="J15" s="85"/>
    </row>
    <row r="16" spans="1:35" hidden="1" x14ac:dyDescent="0.35">
      <c r="B16" s="7">
        <f t="shared" ref="B16:B31" si="6">B15+E$6/12</f>
        <v>19.5</v>
      </c>
      <c r="C16" s="15">
        <f t="shared" si="3"/>
        <v>38</v>
      </c>
      <c r="D16" s="15">
        <f t="shared" si="4"/>
        <v>144</v>
      </c>
      <c r="E16" s="14">
        <f t="shared" si="5"/>
        <v>182</v>
      </c>
      <c r="F16" s="2"/>
      <c r="G16" s="2">
        <f t="shared" si="0"/>
        <v>37.6</v>
      </c>
      <c r="H16" s="2">
        <f t="shared" si="1"/>
        <v>143.69999999999999</v>
      </c>
      <c r="I16" s="2">
        <f t="shared" si="2"/>
        <v>181.29999999999998</v>
      </c>
      <c r="J16" s="85"/>
    </row>
    <row r="17" spans="2:10" hidden="1" x14ac:dyDescent="0.35">
      <c r="B17" s="7">
        <f t="shared" si="6"/>
        <v>20</v>
      </c>
      <c r="C17" s="15">
        <f t="shared" si="3"/>
        <v>35</v>
      </c>
      <c r="D17" s="15">
        <f t="shared" si="4"/>
        <v>151</v>
      </c>
      <c r="E17" s="14">
        <f t="shared" si="5"/>
        <v>186</v>
      </c>
      <c r="F17" s="2"/>
      <c r="G17" s="2">
        <f t="shared" si="0"/>
        <v>34.700000000000003</v>
      </c>
      <c r="H17" s="2">
        <f t="shared" si="1"/>
        <v>151.19999999999999</v>
      </c>
      <c r="I17" s="2">
        <f t="shared" si="2"/>
        <v>185.89999999999998</v>
      </c>
      <c r="J17" s="85"/>
    </row>
    <row r="18" spans="2:10" hidden="1" x14ac:dyDescent="0.35">
      <c r="B18" s="7">
        <f t="shared" si="6"/>
        <v>20.5</v>
      </c>
      <c r="C18" s="15">
        <f t="shared" si="3"/>
        <v>32</v>
      </c>
      <c r="D18" s="15">
        <f t="shared" si="4"/>
        <v>159</v>
      </c>
      <c r="E18" s="14">
        <f t="shared" si="5"/>
        <v>191</v>
      </c>
      <c r="F18" s="2"/>
      <c r="G18" s="2">
        <f t="shared" si="0"/>
        <v>31.9</v>
      </c>
      <c r="H18" s="2">
        <f t="shared" si="1"/>
        <v>158.69999999999999</v>
      </c>
      <c r="I18" s="2">
        <f t="shared" si="2"/>
        <v>190.6</v>
      </c>
      <c r="J18" s="85"/>
    </row>
    <row r="19" spans="2:10" hidden="1" x14ac:dyDescent="0.35">
      <c r="B19" s="7">
        <f t="shared" si="6"/>
        <v>21</v>
      </c>
      <c r="C19" s="15">
        <f t="shared" si="3"/>
        <v>29</v>
      </c>
      <c r="D19" s="15">
        <f t="shared" si="4"/>
        <v>166</v>
      </c>
      <c r="E19" s="14">
        <f t="shared" si="5"/>
        <v>195</v>
      </c>
      <c r="F19" s="2"/>
      <c r="G19" s="2">
        <f t="shared" si="0"/>
        <v>29</v>
      </c>
      <c r="H19" s="2">
        <f t="shared" si="1"/>
        <v>166.2</v>
      </c>
      <c r="I19" s="2">
        <f t="shared" si="2"/>
        <v>195.2</v>
      </c>
      <c r="J19" s="85"/>
    </row>
    <row r="20" spans="2:10" hidden="1" x14ac:dyDescent="0.35">
      <c r="B20" s="7">
        <f t="shared" si="6"/>
        <v>21.5</v>
      </c>
      <c r="C20" s="15">
        <f t="shared" si="3"/>
        <v>26</v>
      </c>
      <c r="D20" s="15">
        <f t="shared" si="4"/>
        <v>174</v>
      </c>
      <c r="E20" s="14">
        <f t="shared" si="5"/>
        <v>200</v>
      </c>
      <c r="F20" s="2"/>
      <c r="G20" s="2">
        <f t="shared" si="0"/>
        <v>26.2</v>
      </c>
      <c r="H20" s="2">
        <f t="shared" si="1"/>
        <v>173.7</v>
      </c>
      <c r="I20" s="2">
        <f t="shared" si="2"/>
        <v>199.89999999999998</v>
      </c>
      <c r="J20" s="85"/>
    </row>
    <row r="21" spans="2:10" hidden="1" x14ac:dyDescent="0.35">
      <c r="B21" s="7">
        <f t="shared" si="6"/>
        <v>22</v>
      </c>
      <c r="C21" s="15">
        <f t="shared" si="3"/>
        <v>23</v>
      </c>
      <c r="D21" s="15">
        <f t="shared" si="4"/>
        <v>181</v>
      </c>
      <c r="E21" s="14">
        <f t="shared" si="5"/>
        <v>204</v>
      </c>
      <c r="F21" s="2"/>
      <c r="G21" s="2">
        <f t="shared" si="0"/>
        <v>23.3</v>
      </c>
      <c r="H21" s="2">
        <f t="shared" si="1"/>
        <v>181.2</v>
      </c>
      <c r="I21" s="2">
        <f t="shared" si="2"/>
        <v>204.5</v>
      </c>
      <c r="J21" s="85"/>
    </row>
    <row r="22" spans="2:10" hidden="1" x14ac:dyDescent="0.35">
      <c r="B22" s="7">
        <f t="shared" si="6"/>
        <v>22.5</v>
      </c>
      <c r="C22" s="15">
        <f t="shared" si="3"/>
        <v>21</v>
      </c>
      <c r="D22" s="15">
        <f t="shared" si="4"/>
        <v>189</v>
      </c>
      <c r="E22" s="14">
        <f t="shared" si="5"/>
        <v>210</v>
      </c>
      <c r="F22" s="2"/>
      <c r="G22" s="2">
        <f t="shared" si="0"/>
        <v>20.5</v>
      </c>
      <c r="H22" s="2">
        <f t="shared" si="1"/>
        <v>188.7</v>
      </c>
      <c r="I22" s="2">
        <f t="shared" si="2"/>
        <v>209.2</v>
      </c>
      <c r="J22" s="85"/>
    </row>
    <row r="23" spans="2:10" hidden="1" x14ac:dyDescent="0.35">
      <c r="B23" s="7">
        <f t="shared" si="6"/>
        <v>23</v>
      </c>
      <c r="C23" s="15">
        <f t="shared" si="3"/>
        <v>18</v>
      </c>
      <c r="D23" s="15">
        <f t="shared" si="4"/>
        <v>196</v>
      </c>
      <c r="E23" s="14">
        <f t="shared" si="5"/>
        <v>214</v>
      </c>
      <c r="F23" s="2"/>
      <c r="G23" s="2">
        <f t="shared" si="0"/>
        <v>17.600000000000001</v>
      </c>
      <c r="H23" s="2">
        <f t="shared" si="1"/>
        <v>196.2</v>
      </c>
      <c r="I23" s="2">
        <f t="shared" si="2"/>
        <v>213.79999999999998</v>
      </c>
      <c r="J23" s="85"/>
    </row>
    <row r="24" spans="2:10" hidden="1" x14ac:dyDescent="0.35">
      <c r="B24" s="7">
        <f t="shared" si="6"/>
        <v>23.5</v>
      </c>
      <c r="C24" s="15">
        <f t="shared" si="3"/>
        <v>15</v>
      </c>
      <c r="D24" s="15">
        <f t="shared" si="4"/>
        <v>204</v>
      </c>
      <c r="E24" s="14">
        <f t="shared" si="5"/>
        <v>219</v>
      </c>
      <c r="F24" s="2"/>
      <c r="G24" s="2">
        <f t="shared" si="0"/>
        <v>14.8</v>
      </c>
      <c r="H24" s="2">
        <f t="shared" si="1"/>
        <v>203.7</v>
      </c>
      <c r="I24" s="2">
        <f t="shared" si="2"/>
        <v>218.5</v>
      </c>
      <c r="J24" s="85"/>
    </row>
    <row r="25" spans="2:10" hidden="1" x14ac:dyDescent="0.35">
      <c r="B25" s="7">
        <f t="shared" si="6"/>
        <v>24</v>
      </c>
      <c r="C25" s="15">
        <f t="shared" si="3"/>
        <v>12</v>
      </c>
      <c r="D25" s="15">
        <f t="shared" si="4"/>
        <v>211</v>
      </c>
      <c r="E25" s="14">
        <f t="shared" si="5"/>
        <v>223</v>
      </c>
      <c r="F25" s="2"/>
      <c r="G25" s="2">
        <f t="shared" si="0"/>
        <v>11.9</v>
      </c>
      <c r="H25" s="2">
        <f t="shared" si="1"/>
        <v>211.2</v>
      </c>
      <c r="I25" s="2">
        <f t="shared" si="2"/>
        <v>223.1</v>
      </c>
      <c r="J25" s="85"/>
    </row>
    <row r="26" spans="2:10" hidden="1" x14ac:dyDescent="0.35">
      <c r="B26" s="7">
        <f t="shared" si="6"/>
        <v>24.5</v>
      </c>
      <c r="C26" s="15">
        <f t="shared" si="3"/>
        <v>9</v>
      </c>
      <c r="D26" s="15">
        <f t="shared" si="4"/>
        <v>219</v>
      </c>
      <c r="E26" s="14">
        <f t="shared" si="5"/>
        <v>228</v>
      </c>
      <c r="F26" s="2"/>
      <c r="G26" s="2">
        <f t="shared" si="0"/>
        <v>9.1</v>
      </c>
      <c r="H26" s="2">
        <f t="shared" si="1"/>
        <v>218.7</v>
      </c>
      <c r="I26" s="2">
        <f t="shared" si="2"/>
        <v>227.79999999999998</v>
      </c>
      <c r="J26" s="85"/>
    </row>
    <row r="27" spans="2:10" hidden="1" x14ac:dyDescent="0.35">
      <c r="B27" s="7">
        <f t="shared" si="6"/>
        <v>25</v>
      </c>
      <c r="C27" s="15">
        <f t="shared" si="3"/>
        <v>6</v>
      </c>
      <c r="D27" s="15">
        <f t="shared" si="4"/>
        <v>226</v>
      </c>
      <c r="E27" s="14">
        <f t="shared" si="5"/>
        <v>232</v>
      </c>
      <c r="F27" s="2"/>
      <c r="G27" s="2">
        <f t="shared" si="0"/>
        <v>6.2</v>
      </c>
      <c r="H27" s="2">
        <f t="shared" si="1"/>
        <v>226.2</v>
      </c>
      <c r="I27" s="2">
        <f t="shared" si="2"/>
        <v>232.39999999999998</v>
      </c>
      <c r="J27" s="85"/>
    </row>
    <row r="28" spans="2:10" hidden="1" x14ac:dyDescent="0.35">
      <c r="B28" s="7">
        <f t="shared" si="6"/>
        <v>25.5</v>
      </c>
      <c r="C28" s="15">
        <f t="shared" si="3"/>
        <v>4</v>
      </c>
      <c r="D28" s="15">
        <f t="shared" si="4"/>
        <v>234</v>
      </c>
      <c r="E28" s="14">
        <f t="shared" si="5"/>
        <v>238</v>
      </c>
      <c r="F28" s="2"/>
      <c r="G28" s="2">
        <f t="shared" si="0"/>
        <v>3.4</v>
      </c>
      <c r="H28" s="2">
        <f t="shared" si="1"/>
        <v>233.7</v>
      </c>
      <c r="I28" s="2">
        <f t="shared" si="2"/>
        <v>237.1</v>
      </c>
      <c r="J28" s="85"/>
    </row>
    <row r="29" spans="2:10" hidden="1" x14ac:dyDescent="0.35">
      <c r="B29" s="7">
        <f t="shared" si="6"/>
        <v>26</v>
      </c>
      <c r="C29" s="15">
        <f t="shared" si="3"/>
        <v>1</v>
      </c>
      <c r="D29" s="15">
        <f t="shared" si="4"/>
        <v>241</v>
      </c>
      <c r="E29" s="14">
        <f t="shared" si="5"/>
        <v>242</v>
      </c>
      <c r="F29" s="2"/>
      <c r="G29" s="2">
        <f t="shared" si="0"/>
        <v>0.5</v>
      </c>
      <c r="H29" s="2">
        <f t="shared" si="1"/>
        <v>241.2</v>
      </c>
      <c r="I29" s="2">
        <f t="shared" si="2"/>
        <v>241.7</v>
      </c>
      <c r="J29" s="85"/>
    </row>
    <row r="30" spans="2:10" hidden="1" x14ac:dyDescent="0.35">
      <c r="B30" s="7">
        <f t="shared" si="6"/>
        <v>26.5</v>
      </c>
      <c r="C30" s="15">
        <f t="shared" si="3"/>
        <v>-2</v>
      </c>
      <c r="D30" s="15">
        <f t="shared" si="4"/>
        <v>249</v>
      </c>
      <c r="E30" s="14">
        <f t="shared" si="5"/>
        <v>247</v>
      </c>
      <c r="F30" s="2"/>
      <c r="G30" s="2">
        <f t="shared" ref="G30:G45" si="7">ROUND((H$6-304.8*$B30)/(H$6-G$6)*G$7,1)</f>
        <v>-2.4</v>
      </c>
      <c r="H30" s="2">
        <f t="shared" ref="H30:H45" si="8">ROUND((304.8*$B30-G$6)/(H$6-G$6)*H$7,1)</f>
        <v>248.7</v>
      </c>
      <c r="I30" s="2">
        <f t="shared" ref="I30:I45" si="9">H30+G30</f>
        <v>246.29999999999998</v>
      </c>
      <c r="J30" s="85"/>
    </row>
    <row r="31" spans="2:10" hidden="1" x14ac:dyDescent="0.35">
      <c r="B31" s="7">
        <f t="shared" si="6"/>
        <v>27</v>
      </c>
      <c r="C31" s="15">
        <f t="shared" ref="C31:C46" si="10">ROUND($G31+0.105,0)</f>
        <v>-5</v>
      </c>
      <c r="D31" s="15">
        <f t="shared" ref="D31:D46" si="11">ROUND($H31+0.105,0)</f>
        <v>256</v>
      </c>
      <c r="E31" s="14">
        <f t="shared" ref="E31:E46" si="12">C31+D31</f>
        <v>251</v>
      </c>
      <c r="F31" s="2"/>
      <c r="G31" s="2">
        <f t="shared" si="7"/>
        <v>-5.2</v>
      </c>
      <c r="H31" s="2">
        <f t="shared" si="8"/>
        <v>256.2</v>
      </c>
      <c r="I31" s="2">
        <f t="shared" si="9"/>
        <v>251</v>
      </c>
      <c r="J31" s="85"/>
    </row>
    <row r="32" spans="2:10" hidden="1" x14ac:dyDescent="0.35">
      <c r="B32" s="7">
        <f t="shared" ref="B32:B47" si="13">B31+E$6/12</f>
        <v>27.5</v>
      </c>
      <c r="C32" s="15">
        <f t="shared" si="10"/>
        <v>-8</v>
      </c>
      <c r="D32" s="15">
        <f t="shared" si="11"/>
        <v>264</v>
      </c>
      <c r="E32" s="14">
        <f t="shared" si="12"/>
        <v>256</v>
      </c>
      <c r="F32" s="2"/>
      <c r="G32" s="2">
        <f t="shared" si="7"/>
        <v>-8.1</v>
      </c>
      <c r="H32" s="2">
        <f t="shared" si="8"/>
        <v>263.7</v>
      </c>
      <c r="I32" s="2">
        <f t="shared" si="9"/>
        <v>255.6</v>
      </c>
      <c r="J32" s="85"/>
    </row>
    <row r="33" spans="2:10" hidden="1" x14ac:dyDescent="0.35">
      <c r="B33" s="7">
        <f t="shared" si="13"/>
        <v>28</v>
      </c>
      <c r="C33" s="15">
        <f t="shared" si="10"/>
        <v>-11</v>
      </c>
      <c r="D33" s="15">
        <f t="shared" si="11"/>
        <v>271</v>
      </c>
      <c r="E33" s="14">
        <f t="shared" si="12"/>
        <v>260</v>
      </c>
      <c r="F33" s="2"/>
      <c r="G33" s="2">
        <f t="shared" si="7"/>
        <v>-10.9</v>
      </c>
      <c r="H33" s="2">
        <f t="shared" si="8"/>
        <v>271.2</v>
      </c>
      <c r="I33" s="2">
        <f t="shared" si="9"/>
        <v>260.3</v>
      </c>
      <c r="J33" s="85"/>
    </row>
    <row r="34" spans="2:10" hidden="1" x14ac:dyDescent="0.35">
      <c r="B34" s="7">
        <f t="shared" si="13"/>
        <v>28.5</v>
      </c>
      <c r="C34" s="15">
        <f t="shared" si="10"/>
        <v>-14</v>
      </c>
      <c r="D34" s="15">
        <f t="shared" si="11"/>
        <v>279</v>
      </c>
      <c r="E34" s="14">
        <f t="shared" si="12"/>
        <v>265</v>
      </c>
      <c r="F34" s="2"/>
      <c r="G34" s="2">
        <f t="shared" si="7"/>
        <v>-13.8</v>
      </c>
      <c r="H34" s="2">
        <f t="shared" si="8"/>
        <v>278.7</v>
      </c>
      <c r="I34" s="2">
        <f t="shared" si="9"/>
        <v>264.89999999999998</v>
      </c>
      <c r="J34" s="85"/>
    </row>
    <row r="35" spans="2:10" hidden="1" x14ac:dyDescent="0.35">
      <c r="B35" s="7">
        <f t="shared" si="13"/>
        <v>29</v>
      </c>
      <c r="C35" s="15">
        <f t="shared" si="10"/>
        <v>-16</v>
      </c>
      <c r="D35" s="15">
        <f t="shared" si="11"/>
        <v>286</v>
      </c>
      <c r="E35" s="14">
        <f t="shared" si="12"/>
        <v>270</v>
      </c>
      <c r="F35" s="2"/>
      <c r="G35" s="2">
        <f t="shared" si="7"/>
        <v>-16.600000000000001</v>
      </c>
      <c r="H35" s="2">
        <f t="shared" si="8"/>
        <v>286.2</v>
      </c>
      <c r="I35" s="2">
        <f t="shared" si="9"/>
        <v>269.59999999999997</v>
      </c>
      <c r="J35" s="85"/>
    </row>
    <row r="36" spans="2:10" hidden="1" x14ac:dyDescent="0.35">
      <c r="B36" s="7">
        <f t="shared" si="13"/>
        <v>29.5</v>
      </c>
      <c r="C36" s="15">
        <f t="shared" si="10"/>
        <v>-19</v>
      </c>
      <c r="D36" s="15">
        <f t="shared" si="11"/>
        <v>294</v>
      </c>
      <c r="E36" s="14">
        <f t="shared" si="12"/>
        <v>275</v>
      </c>
      <c r="F36" s="2"/>
      <c r="G36" s="2">
        <f t="shared" si="7"/>
        <v>-19.5</v>
      </c>
      <c r="H36" s="2">
        <f t="shared" si="8"/>
        <v>293.7</v>
      </c>
      <c r="I36" s="2">
        <f t="shared" si="9"/>
        <v>274.2</v>
      </c>
      <c r="J36" s="85"/>
    </row>
    <row r="37" spans="2:10" hidden="1" x14ac:dyDescent="0.35">
      <c r="B37" s="7">
        <f t="shared" si="13"/>
        <v>30</v>
      </c>
      <c r="C37" s="15">
        <f t="shared" si="10"/>
        <v>-22</v>
      </c>
      <c r="D37" s="15">
        <f t="shared" si="11"/>
        <v>301</v>
      </c>
      <c r="E37" s="14">
        <f t="shared" si="12"/>
        <v>279</v>
      </c>
      <c r="F37" s="2"/>
      <c r="G37" s="2">
        <f t="shared" si="7"/>
        <v>-22.3</v>
      </c>
      <c r="H37" s="2">
        <f t="shared" si="8"/>
        <v>301.2</v>
      </c>
      <c r="I37" s="2">
        <f t="shared" si="9"/>
        <v>278.89999999999998</v>
      </c>
      <c r="J37" s="85"/>
    </row>
    <row r="38" spans="2:10" hidden="1" x14ac:dyDescent="0.35">
      <c r="B38" s="7">
        <f t="shared" si="13"/>
        <v>30.5</v>
      </c>
      <c r="C38" s="15">
        <f t="shared" si="10"/>
        <v>-25</v>
      </c>
      <c r="D38" s="15">
        <f t="shared" si="11"/>
        <v>309</v>
      </c>
      <c r="E38" s="14">
        <f t="shared" si="12"/>
        <v>284</v>
      </c>
      <c r="F38" s="2"/>
      <c r="G38" s="2">
        <f t="shared" si="7"/>
        <v>-25.2</v>
      </c>
      <c r="H38" s="2">
        <f t="shared" si="8"/>
        <v>308.7</v>
      </c>
      <c r="I38" s="2">
        <f t="shared" si="9"/>
        <v>283.5</v>
      </c>
      <c r="J38" s="85"/>
    </row>
    <row r="39" spans="2:10" hidden="1" x14ac:dyDescent="0.35">
      <c r="B39" s="7">
        <f t="shared" si="13"/>
        <v>31</v>
      </c>
      <c r="C39" s="15">
        <f t="shared" si="10"/>
        <v>-28</v>
      </c>
      <c r="D39" s="15">
        <f t="shared" si="11"/>
        <v>316</v>
      </c>
      <c r="E39" s="14">
        <f t="shared" si="12"/>
        <v>288</v>
      </c>
      <c r="F39" s="2"/>
      <c r="G39" s="2">
        <f t="shared" si="7"/>
        <v>-28</v>
      </c>
      <c r="H39" s="2">
        <f t="shared" si="8"/>
        <v>316.2</v>
      </c>
      <c r="I39" s="2">
        <f t="shared" si="9"/>
        <v>288.2</v>
      </c>
      <c r="J39" s="85"/>
    </row>
    <row r="40" spans="2:10" hidden="1" x14ac:dyDescent="0.35">
      <c r="B40" s="7">
        <f t="shared" si="13"/>
        <v>31.5</v>
      </c>
      <c r="C40" s="15">
        <f t="shared" si="10"/>
        <v>-31</v>
      </c>
      <c r="D40" s="15">
        <f t="shared" si="11"/>
        <v>324</v>
      </c>
      <c r="E40" s="14">
        <f t="shared" si="12"/>
        <v>293</v>
      </c>
      <c r="F40" s="2"/>
      <c r="G40" s="2">
        <f t="shared" si="7"/>
        <v>-30.9</v>
      </c>
      <c r="H40" s="2">
        <f t="shared" si="8"/>
        <v>323.7</v>
      </c>
      <c r="I40" s="2">
        <f t="shared" si="9"/>
        <v>292.8</v>
      </c>
      <c r="J40" s="85"/>
    </row>
    <row r="41" spans="2:10" hidden="1" x14ac:dyDescent="0.35">
      <c r="B41" s="7">
        <f t="shared" si="13"/>
        <v>32</v>
      </c>
      <c r="C41" s="15">
        <f t="shared" si="10"/>
        <v>-34</v>
      </c>
      <c r="D41" s="15">
        <f t="shared" si="11"/>
        <v>331</v>
      </c>
      <c r="E41" s="14">
        <f t="shared" si="12"/>
        <v>297</v>
      </c>
      <c r="F41" s="2"/>
      <c r="G41" s="2">
        <f t="shared" si="7"/>
        <v>-33.700000000000003</v>
      </c>
      <c r="H41" s="2">
        <f t="shared" si="8"/>
        <v>331.2</v>
      </c>
      <c r="I41" s="2">
        <f t="shared" si="9"/>
        <v>297.5</v>
      </c>
      <c r="J41" s="85"/>
    </row>
    <row r="42" spans="2:10" hidden="1" x14ac:dyDescent="0.35">
      <c r="B42" s="7">
        <f t="shared" si="13"/>
        <v>32.5</v>
      </c>
      <c r="C42" s="15">
        <f t="shared" si="10"/>
        <v>-36</v>
      </c>
      <c r="D42" s="15">
        <f t="shared" si="11"/>
        <v>339</v>
      </c>
      <c r="E42" s="14">
        <f t="shared" si="12"/>
        <v>303</v>
      </c>
      <c r="F42" s="2"/>
      <c r="G42" s="2">
        <f t="shared" si="7"/>
        <v>-36.6</v>
      </c>
      <c r="H42" s="2">
        <f t="shared" si="8"/>
        <v>338.7</v>
      </c>
      <c r="I42" s="2">
        <f t="shared" si="9"/>
        <v>302.09999999999997</v>
      </c>
      <c r="J42" s="85"/>
    </row>
    <row r="43" spans="2:10" hidden="1" x14ac:dyDescent="0.35">
      <c r="B43" s="7">
        <f t="shared" si="13"/>
        <v>33</v>
      </c>
      <c r="C43" s="15">
        <f t="shared" si="10"/>
        <v>-39</v>
      </c>
      <c r="D43" s="15">
        <f t="shared" si="11"/>
        <v>346</v>
      </c>
      <c r="E43" s="14">
        <f t="shared" si="12"/>
        <v>307</v>
      </c>
      <c r="F43" s="2"/>
      <c r="G43" s="2">
        <f t="shared" si="7"/>
        <v>-39.4</v>
      </c>
      <c r="H43" s="2">
        <f t="shared" si="8"/>
        <v>346.2</v>
      </c>
      <c r="I43" s="2">
        <f t="shared" si="9"/>
        <v>306.8</v>
      </c>
      <c r="J43" s="85"/>
    </row>
    <row r="44" spans="2:10" hidden="1" x14ac:dyDescent="0.35">
      <c r="B44" s="7">
        <f t="shared" si="13"/>
        <v>33.5</v>
      </c>
      <c r="C44" s="15">
        <f t="shared" si="10"/>
        <v>-42</v>
      </c>
      <c r="D44" s="15">
        <f t="shared" si="11"/>
        <v>354</v>
      </c>
      <c r="E44" s="14">
        <f t="shared" si="12"/>
        <v>312</v>
      </c>
      <c r="F44" s="2"/>
      <c r="G44" s="2">
        <f t="shared" si="7"/>
        <v>-42.3</v>
      </c>
      <c r="H44" s="2">
        <f t="shared" si="8"/>
        <v>353.7</v>
      </c>
      <c r="I44" s="2">
        <f t="shared" si="9"/>
        <v>311.39999999999998</v>
      </c>
      <c r="J44" s="85"/>
    </row>
    <row r="45" spans="2:10" hidden="1" x14ac:dyDescent="0.35">
      <c r="B45" s="7">
        <f t="shared" si="13"/>
        <v>34</v>
      </c>
      <c r="C45" s="15">
        <f t="shared" si="10"/>
        <v>-45</v>
      </c>
      <c r="D45" s="15">
        <f t="shared" si="11"/>
        <v>361</v>
      </c>
      <c r="E45" s="14">
        <f t="shared" si="12"/>
        <v>316</v>
      </c>
      <c r="F45" s="2"/>
      <c r="G45" s="2">
        <f t="shared" si="7"/>
        <v>-45.1</v>
      </c>
      <c r="H45" s="2">
        <f t="shared" si="8"/>
        <v>361.2</v>
      </c>
      <c r="I45" s="2">
        <f t="shared" si="9"/>
        <v>316.09999999999997</v>
      </c>
      <c r="J45" s="85"/>
    </row>
    <row r="46" spans="2:10" hidden="1" x14ac:dyDescent="0.35">
      <c r="B46" s="7">
        <f t="shared" si="13"/>
        <v>34.5</v>
      </c>
      <c r="C46" s="15">
        <f t="shared" si="10"/>
        <v>-48</v>
      </c>
      <c r="D46" s="15">
        <f t="shared" si="11"/>
        <v>369</v>
      </c>
      <c r="E46" s="14">
        <f t="shared" si="12"/>
        <v>321</v>
      </c>
      <c r="F46" s="2"/>
      <c r="G46" s="2">
        <f t="shared" ref="G46:G56" si="14">ROUND((H$6-304.8*$B46)/(H$6-G$6)*G$7,1)</f>
        <v>-48</v>
      </c>
      <c r="H46" s="2">
        <f t="shared" ref="H46:H56" si="15">ROUND((304.8*$B46-G$6)/(H$6-G$6)*H$7,1)</f>
        <v>368.7</v>
      </c>
      <c r="I46" s="2">
        <f t="shared" ref="I46:I57" si="16">H46+G46</f>
        <v>320.7</v>
      </c>
      <c r="J46" s="85"/>
    </row>
    <row r="47" spans="2:10" hidden="1" x14ac:dyDescent="0.35">
      <c r="B47" s="7">
        <f t="shared" si="13"/>
        <v>35</v>
      </c>
      <c r="C47" s="15">
        <f>ROUND($G47+0.105,0)</f>
        <v>-51</v>
      </c>
      <c r="D47" s="15">
        <f>ROUND($H47+0.105,0)</f>
        <v>376</v>
      </c>
      <c r="E47" s="14">
        <f>C47+D47</f>
        <v>325</v>
      </c>
      <c r="F47" s="2"/>
      <c r="G47" s="2">
        <f t="shared" si="14"/>
        <v>-50.8</v>
      </c>
      <c r="H47" s="2">
        <f t="shared" si="15"/>
        <v>376.2</v>
      </c>
      <c r="I47" s="2">
        <f t="shared" si="16"/>
        <v>325.39999999999998</v>
      </c>
      <c r="J47" s="85"/>
    </row>
    <row r="48" spans="2:10" hidden="1" x14ac:dyDescent="0.35">
      <c r="B48" s="7">
        <f>B47+E$6/12</f>
        <v>35.5</v>
      </c>
      <c r="C48" s="15">
        <f>ROUND($G48+0.105,0)</f>
        <v>-54</v>
      </c>
      <c r="D48" s="15">
        <f>ROUND($H48+0.105,0)</f>
        <v>384</v>
      </c>
      <c r="E48" s="14">
        <f>C48+D48</f>
        <v>330</v>
      </c>
      <c r="F48" s="2"/>
      <c r="G48" s="2">
        <f t="shared" si="14"/>
        <v>-53.7</v>
      </c>
      <c r="H48" s="2">
        <f t="shared" si="15"/>
        <v>383.7</v>
      </c>
      <c r="I48" s="2">
        <f t="shared" si="16"/>
        <v>330</v>
      </c>
      <c r="J48" s="85"/>
    </row>
    <row r="49" spans="1:31" ht="16" hidden="1" thickBot="1" x14ac:dyDescent="0.4">
      <c r="B49" s="118"/>
      <c r="C49" s="18"/>
      <c r="D49" s="18"/>
      <c r="E49" s="19"/>
      <c r="F49" s="2"/>
      <c r="G49" s="2">
        <f t="shared" si="14"/>
        <v>148.69999999999999</v>
      </c>
      <c r="H49" s="2">
        <f t="shared" si="15"/>
        <v>-148.80000000000001</v>
      </c>
      <c r="I49" s="2">
        <f t="shared" si="16"/>
        <v>-0.10000000000002274</v>
      </c>
      <c r="J49" s="85"/>
    </row>
    <row r="50" spans="1:31" hidden="1" x14ac:dyDescent="0.35">
      <c r="B50" s="119"/>
      <c r="F50" s="2"/>
      <c r="G50" s="2">
        <f t="shared" si="14"/>
        <v>148.69999999999999</v>
      </c>
      <c r="H50" s="2">
        <f t="shared" si="15"/>
        <v>-148.80000000000001</v>
      </c>
      <c r="I50" s="2">
        <f t="shared" si="16"/>
        <v>-0.10000000000002274</v>
      </c>
      <c r="J50" s="85"/>
    </row>
    <row r="51" spans="1:31" hidden="1" x14ac:dyDescent="0.35">
      <c r="B51" s="119"/>
      <c r="F51" s="2"/>
      <c r="G51" s="2">
        <f t="shared" si="14"/>
        <v>148.69999999999999</v>
      </c>
      <c r="H51" s="2">
        <f t="shared" si="15"/>
        <v>-148.80000000000001</v>
      </c>
      <c r="I51" s="2">
        <f t="shared" si="16"/>
        <v>-0.10000000000002274</v>
      </c>
      <c r="J51" s="85"/>
    </row>
    <row r="52" spans="1:31" hidden="1" x14ac:dyDescent="0.35">
      <c r="B52" s="119"/>
      <c r="F52" s="2"/>
      <c r="G52" s="2">
        <f t="shared" si="14"/>
        <v>148.69999999999999</v>
      </c>
      <c r="H52" s="2">
        <f t="shared" si="15"/>
        <v>-148.80000000000001</v>
      </c>
      <c r="I52" s="2">
        <f t="shared" si="16"/>
        <v>-0.10000000000002274</v>
      </c>
      <c r="J52" s="85"/>
    </row>
    <row r="53" spans="1:31" hidden="1" x14ac:dyDescent="0.35">
      <c r="B53" s="119"/>
      <c r="F53" s="2"/>
      <c r="G53" s="2">
        <f t="shared" si="14"/>
        <v>148.69999999999999</v>
      </c>
      <c r="H53" s="2">
        <f t="shared" si="15"/>
        <v>-148.80000000000001</v>
      </c>
      <c r="I53" s="2">
        <f t="shared" si="16"/>
        <v>-0.10000000000002274</v>
      </c>
      <c r="J53" s="85"/>
    </row>
    <row r="54" spans="1:31" hidden="1" x14ac:dyDescent="0.35">
      <c r="B54" s="119"/>
      <c r="F54" s="2"/>
      <c r="G54" s="2">
        <f t="shared" si="14"/>
        <v>148.69999999999999</v>
      </c>
      <c r="H54" s="2">
        <f t="shared" si="15"/>
        <v>-148.80000000000001</v>
      </c>
      <c r="I54" s="2">
        <f t="shared" si="16"/>
        <v>-0.10000000000002274</v>
      </c>
      <c r="J54" s="85"/>
    </row>
    <row r="55" spans="1:31" x14ac:dyDescent="0.35">
      <c r="B55" s="119"/>
      <c r="F55" s="2"/>
      <c r="G55" s="2">
        <f t="shared" si="14"/>
        <v>148.69999999999999</v>
      </c>
      <c r="H55" s="2">
        <f t="shared" si="15"/>
        <v>-148.80000000000001</v>
      </c>
      <c r="I55" s="2">
        <f t="shared" si="16"/>
        <v>-0.10000000000002274</v>
      </c>
    </row>
    <row r="56" spans="1:31" ht="16" thickBot="1" x14ac:dyDescent="0.4">
      <c r="B56" s="119"/>
      <c r="F56" s="2"/>
      <c r="G56" s="2">
        <f t="shared" si="14"/>
        <v>148.69999999999999</v>
      </c>
      <c r="H56" s="2">
        <f t="shared" si="15"/>
        <v>-148.80000000000001</v>
      </c>
      <c r="I56" s="2">
        <f t="shared" si="16"/>
        <v>-0.10000000000002274</v>
      </c>
    </row>
    <row r="57" spans="1:31" ht="16" thickBot="1" x14ac:dyDescent="0.4">
      <c r="A57" s="1" t="s">
        <v>134</v>
      </c>
      <c r="B57"/>
      <c r="C57" s="1">
        <f>IF(C14&lt;1,1,0)</f>
        <v>0</v>
      </c>
      <c r="D57" s="1">
        <f>IF(D14&lt;1,1,0)</f>
        <v>0</v>
      </c>
      <c r="E57" s="125">
        <f>+C57+D57</f>
        <v>0</v>
      </c>
      <c r="G57" s="2" t="e">
        <f>ROUND((H$6-304.8*$A57)/(H$6-G$6)*G$7,1)</f>
        <v>#VALUE!</v>
      </c>
      <c r="H57" s="2" t="e">
        <f>ROUND((304.8*$A57-G$6)/(H$6-G$6)*H$7,1)</f>
        <v>#VALUE!</v>
      </c>
      <c r="I57" s="2" t="e">
        <f t="shared" si="16"/>
        <v>#VALUE!</v>
      </c>
      <c r="AC57" s="1">
        <f>IF(AC14&lt;1,1,0)</f>
        <v>0</v>
      </c>
      <c r="AD57" s="1">
        <f>IF(AD14&lt;1,1,0)</f>
        <v>0</v>
      </c>
      <c r="AE57" s="125">
        <f>+AC57+AD57</f>
        <v>0</v>
      </c>
    </row>
    <row r="58" spans="1:31" x14ac:dyDescent="0.35">
      <c r="B58" s="124" t="s">
        <v>135</v>
      </c>
    </row>
  </sheetData>
  <phoneticPr fontId="19" type="noConversion"/>
  <printOptions gridLines="1" gridLinesSet="0"/>
  <pageMargins left="0.75" right="0.75" top="1" bottom="1" header="0.4921259845" footer="0.492125984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AL58"/>
  <sheetViews>
    <sheetView topLeftCell="A3" zoomScale="70" workbookViewId="0">
      <selection activeCell="E57" sqref="E57"/>
    </sheetView>
  </sheetViews>
  <sheetFormatPr defaultColWidth="11.61328125" defaultRowHeight="15.5" x14ac:dyDescent="0.35"/>
  <cols>
    <col min="1" max="1" width="1.3046875" style="1" customWidth="1"/>
    <col min="2" max="2" width="11.3046875" style="1" customWidth="1"/>
    <col min="3" max="3" width="10.3046875" style="1" customWidth="1"/>
    <col min="4" max="4" width="11.69140625" style="1" customWidth="1"/>
    <col min="5" max="5" width="10.765625" style="1" customWidth="1"/>
    <col min="6" max="6" width="1.3046875" style="1" customWidth="1"/>
    <col min="7" max="9" width="0" style="1" hidden="1" customWidth="1"/>
    <col min="10" max="10" width="1.921875" style="120" customWidth="1"/>
    <col min="11" max="26" width="0" style="1" hidden="1" customWidth="1"/>
    <col min="27" max="27" width="1.3828125" style="1" customWidth="1"/>
    <col min="28" max="28" width="14" style="1" customWidth="1"/>
    <col min="29" max="31" width="9.69140625" style="1" customWidth="1"/>
    <col min="32" max="32" width="4.921875" style="1" hidden="1" customWidth="1"/>
    <col min="33" max="35" width="0" style="1" hidden="1" customWidth="1"/>
    <col min="36" max="38" width="9.69140625" style="1" customWidth="1"/>
  </cols>
  <sheetData>
    <row r="1" spans="1:35" ht="25.5" x14ac:dyDescent="0.35">
      <c r="A1" s="121"/>
      <c r="B1" s="75" t="s">
        <v>136</v>
      </c>
      <c r="C1" s="75"/>
      <c r="D1" s="75"/>
      <c r="E1" s="75"/>
      <c r="F1" s="76"/>
      <c r="G1" s="76"/>
      <c r="H1" s="76"/>
      <c r="I1" s="76"/>
      <c r="J1" s="77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5" t="s">
        <v>137</v>
      </c>
      <c r="AC1" s="78"/>
      <c r="AD1" s="78"/>
      <c r="AE1" s="79"/>
    </row>
    <row r="2" spans="1:35" ht="20.5" x14ac:dyDescent="0.45">
      <c r="B2" s="80" t="s">
        <v>0</v>
      </c>
      <c r="C2" s="81"/>
      <c r="D2" s="81"/>
      <c r="E2" s="82"/>
      <c r="F2" s="83"/>
      <c r="G2" s="83"/>
      <c r="H2" s="83"/>
      <c r="I2" s="84"/>
      <c r="J2" s="85"/>
      <c r="AB2" s="80" t="s">
        <v>0</v>
      </c>
      <c r="AC2" s="81"/>
      <c r="AD2" s="81"/>
      <c r="AE2" s="86"/>
      <c r="AF2" s="87"/>
      <c r="AG2" s="83"/>
      <c r="AH2" s="83"/>
      <c r="AI2" s="84"/>
    </row>
    <row r="3" spans="1:35" ht="16" thickBot="1" x14ac:dyDescent="0.4">
      <c r="B3" s="88"/>
      <c r="C3" s="89"/>
      <c r="D3" s="89"/>
      <c r="E3" s="90"/>
      <c r="F3" s="15"/>
      <c r="G3" s="15"/>
      <c r="H3" s="15"/>
      <c r="I3" s="91"/>
      <c r="J3" s="85"/>
      <c r="AB3" s="88"/>
      <c r="AC3" s="89"/>
      <c r="AD3" s="89"/>
      <c r="AE3" s="92"/>
      <c r="AF3" s="93"/>
      <c r="AG3" s="15"/>
      <c r="AH3" s="15"/>
      <c r="AI3" s="91"/>
    </row>
    <row r="4" spans="1:35" ht="31.5" thickBot="1" x14ac:dyDescent="0.4">
      <c r="B4" s="94"/>
      <c r="C4" s="95" t="s">
        <v>5</v>
      </c>
      <c r="D4" s="95" t="s">
        <v>6</v>
      </c>
      <c r="E4" s="96" t="s">
        <v>7</v>
      </c>
      <c r="F4" s="15"/>
      <c r="G4" s="15"/>
      <c r="H4" s="15"/>
      <c r="I4" s="91"/>
      <c r="J4" s="85"/>
      <c r="AB4" s="94"/>
      <c r="AC4" s="95" t="s">
        <v>5</v>
      </c>
      <c r="AD4" s="95" t="s">
        <v>6</v>
      </c>
      <c r="AE4" s="97"/>
      <c r="AF4" s="93"/>
      <c r="AG4" s="15"/>
      <c r="AH4" s="15"/>
      <c r="AI4" s="91"/>
    </row>
    <row r="5" spans="1:35" ht="16" thickBot="1" x14ac:dyDescent="0.4">
      <c r="B5" s="93"/>
      <c r="C5" s="123" t="str">
        <f>+'BEST COMBINATION'!I14</f>
        <v>222</v>
      </c>
      <c r="D5" s="122" t="str">
        <f>+'BEST COMBINATION'!J14</f>
        <v>822</v>
      </c>
      <c r="E5" s="14"/>
      <c r="F5" s="15"/>
      <c r="G5" s="15">
        <f>ATAN((C6-C7-$C11)/2/$C8)</f>
        <v>5.222519451420652E-2</v>
      </c>
      <c r="H5" s="15">
        <f>ATAN((D6-D7-$C11)/2/$C8)</f>
        <v>1.2953820849162785E-2</v>
      </c>
      <c r="I5" s="91"/>
      <c r="J5" s="85"/>
      <c r="AB5" s="93"/>
      <c r="AC5" s="98" t="str">
        <f>+'BEST COMBINATION'!L14</f>
        <v>222</v>
      </c>
      <c r="AD5" s="99" t="str">
        <f>+'BEST COMBINATION'!M14</f>
        <v>622</v>
      </c>
      <c r="AE5" s="103"/>
      <c r="AF5" s="93"/>
      <c r="AG5" s="15">
        <f>ATAN((AC6-AC7-$AC11)/2/$AC8)</f>
        <v>5.222519451420652E-2</v>
      </c>
      <c r="AH5" s="15">
        <f>ATAN((AD6-AD7-$AC11)/2/$AC8)</f>
        <v>1.7043803994997421E-2</v>
      </c>
      <c r="AI5" s="91"/>
    </row>
    <row r="6" spans="1:35" ht="16" thickBot="1" x14ac:dyDescent="0.4">
      <c r="B6" s="100" t="s">
        <v>16</v>
      </c>
      <c r="C6" s="8">
        <f>VLOOKUP(C5,SHAPE,3)</f>
        <v>103</v>
      </c>
      <c r="D6" s="8">
        <f>VLOOKUP(D5,SHAPE,3)</f>
        <v>103</v>
      </c>
      <c r="E6" s="101">
        <v>6</v>
      </c>
      <c r="F6" s="15"/>
      <c r="G6" s="15">
        <f>($C10+C6)/SIN(G5)</f>
        <v>1973.1249916095478</v>
      </c>
      <c r="H6" s="15">
        <f>($C10+D6)/SIN(H5)</f>
        <v>7951.5443240850082</v>
      </c>
      <c r="I6" s="91"/>
      <c r="J6" s="85"/>
      <c r="AB6" s="100" t="s">
        <v>16</v>
      </c>
      <c r="AC6" s="8">
        <f>VLOOKUP(AC5,SHAPE,3)</f>
        <v>103</v>
      </c>
      <c r="AD6" s="8">
        <f>VLOOKUP(AD5,SHAPE,3)</f>
        <v>103</v>
      </c>
      <c r="AE6" s="103"/>
      <c r="AF6" s="93"/>
      <c r="AG6" s="15">
        <f>($AC10+AC6)/SIN(AG5)</f>
        <v>1973.1249916095478</v>
      </c>
      <c r="AH6" s="15">
        <f>($AC10+AD6)/SIN(AH5)</f>
        <v>6043.5444438213954</v>
      </c>
      <c r="AI6" s="91"/>
    </row>
    <row r="7" spans="1:35" x14ac:dyDescent="0.35">
      <c r="B7" s="100" t="s">
        <v>22</v>
      </c>
      <c r="C7" s="8">
        <f>VLOOKUP(C5,SHAPE,4)</f>
        <v>80</v>
      </c>
      <c r="D7" s="8">
        <f>VLOOKUP(D5,SHAPE,4)</f>
        <v>97.3</v>
      </c>
      <c r="E7" s="102"/>
      <c r="F7" s="15"/>
      <c r="G7" s="15">
        <f>PI()/G5</f>
        <v>60.154733415788499</v>
      </c>
      <c r="H7" s="15">
        <f>PI()/H5</f>
        <v>242.5224719541213</v>
      </c>
      <c r="I7" s="91"/>
      <c r="J7" s="85"/>
      <c r="AB7" s="100" t="s">
        <v>22</v>
      </c>
      <c r="AC7" s="8">
        <f>VLOOKUP(AC5,SHAPE,4)</f>
        <v>80</v>
      </c>
      <c r="AD7" s="8">
        <f>VLOOKUP(AD5,SHAPE,4)</f>
        <v>95.5</v>
      </c>
      <c r="AE7" s="103"/>
      <c r="AF7" s="93"/>
      <c r="AG7" s="15">
        <f>PI()/AG5</f>
        <v>60.154733415788499</v>
      </c>
      <c r="AH7" s="15">
        <f>PI()/AH5</f>
        <v>184.32461758606775</v>
      </c>
      <c r="AI7" s="91"/>
    </row>
    <row r="8" spans="1:35" x14ac:dyDescent="0.35">
      <c r="B8" s="100" t="s">
        <v>26</v>
      </c>
      <c r="C8" s="8">
        <f>VLOOKUP(C5,SHAPE,5)</f>
        <v>220</v>
      </c>
      <c r="D8" s="8">
        <f>VLOOKUP(D5,SHAPE,5)</f>
        <v>220</v>
      </c>
      <c r="E8" s="102"/>
      <c r="F8" s="15"/>
      <c r="G8" s="15">
        <f>G6/304.8</f>
        <v>6.4735071903200385</v>
      </c>
      <c r="H8" s="15"/>
      <c r="I8" s="91"/>
      <c r="J8" s="85"/>
      <c r="AB8" s="100" t="s">
        <v>26</v>
      </c>
      <c r="AC8" s="8">
        <f>VLOOKUP(AC5,SHAPE,5)</f>
        <v>220</v>
      </c>
      <c r="AD8" s="8">
        <f>VLOOKUP(AD5,SHAPE,5)</f>
        <v>220</v>
      </c>
      <c r="AE8" s="103"/>
      <c r="AF8" s="93"/>
      <c r="AG8" s="15">
        <f>AG6/304.8</f>
        <v>6.4735071903200385</v>
      </c>
      <c r="AH8" s="15"/>
      <c r="AI8" s="91"/>
    </row>
    <row r="9" spans="1:35" x14ac:dyDescent="0.35">
      <c r="B9" s="104" t="str">
        <f>IF(C8=D8,"","SHAPE WITH DIFFERENT THICKNESS ???")</f>
        <v/>
      </c>
      <c r="C9" s="9"/>
      <c r="D9" s="10"/>
      <c r="E9" s="105"/>
      <c r="F9" s="15"/>
      <c r="G9" s="15"/>
      <c r="H9" s="15"/>
      <c r="I9" s="91"/>
      <c r="J9" s="85"/>
      <c r="AB9" s="104" t="str">
        <f>IF(AC8=AD8,"","SHAPE WITH DIFFERENT THICKNESS ???")</f>
        <v/>
      </c>
      <c r="AC9" s="9"/>
      <c r="AD9" s="10"/>
      <c r="AE9" s="106"/>
      <c r="AF9" s="93"/>
      <c r="AG9" s="15"/>
      <c r="AH9" s="15"/>
      <c r="AI9" s="91"/>
    </row>
    <row r="10" spans="1:35" x14ac:dyDescent="0.35">
      <c r="B10" s="107" t="s">
        <v>39</v>
      </c>
      <c r="C10" s="108">
        <f>+'BEST COMBINATION'!N3</f>
        <v>0</v>
      </c>
      <c r="D10" s="108"/>
      <c r="E10" s="14"/>
      <c r="F10" s="15"/>
      <c r="G10" s="15"/>
      <c r="H10" s="15"/>
      <c r="I10" s="91"/>
      <c r="J10" s="85"/>
      <c r="AB10" s="107" t="s">
        <v>39</v>
      </c>
      <c r="AC10" s="108">
        <f>+'BEST COMBINATION'!N3</f>
        <v>0</v>
      </c>
      <c r="AD10" s="108"/>
      <c r="AE10" s="91"/>
      <c r="AF10" s="93"/>
      <c r="AG10" s="15"/>
      <c r="AH10" s="15"/>
      <c r="AI10" s="91"/>
    </row>
    <row r="11" spans="1:35" x14ac:dyDescent="0.35">
      <c r="B11" s="100" t="s">
        <v>47</v>
      </c>
      <c r="C11" s="108">
        <f>+'BEST COMBINATION'!N4</f>
        <v>0</v>
      </c>
      <c r="D11" s="108"/>
      <c r="E11" s="14"/>
      <c r="F11" s="15"/>
      <c r="G11" s="15"/>
      <c r="H11" s="15"/>
      <c r="I11" s="91"/>
      <c r="J11" s="85"/>
      <c r="AB11" s="100" t="s">
        <v>47</v>
      </c>
      <c r="AC11" s="108">
        <f>+'BEST COMBINATION'!N4</f>
        <v>0</v>
      </c>
      <c r="AD11" s="108"/>
      <c r="AE11" s="91"/>
      <c r="AF11" s="93"/>
      <c r="AG11" s="15"/>
      <c r="AH11" s="15"/>
      <c r="AI11" s="91"/>
    </row>
    <row r="12" spans="1:35" x14ac:dyDescent="0.35">
      <c r="B12" s="109" t="s">
        <v>57</v>
      </c>
      <c r="C12" s="11" t="s">
        <v>58</v>
      </c>
      <c r="D12" s="11" t="s">
        <v>58</v>
      </c>
      <c r="E12" s="12" t="s">
        <v>59</v>
      </c>
      <c r="F12" s="15"/>
      <c r="G12" s="15"/>
      <c r="H12" s="15"/>
      <c r="I12" s="91"/>
      <c r="J12" s="85"/>
      <c r="AB12" s="109" t="s">
        <v>57</v>
      </c>
      <c r="AC12" s="11" t="s">
        <v>58</v>
      </c>
      <c r="AD12" s="11" t="s">
        <v>58</v>
      </c>
      <c r="AE12" s="110" t="s">
        <v>59</v>
      </c>
      <c r="AF12" s="93"/>
      <c r="AG12" s="15"/>
      <c r="AH12" s="15"/>
      <c r="AI12" s="91"/>
    </row>
    <row r="13" spans="1:35" ht="16" thickBot="1" x14ac:dyDescent="0.4">
      <c r="B13" s="100" t="s">
        <v>68</v>
      </c>
      <c r="C13" s="13"/>
      <c r="D13" s="13"/>
      <c r="E13" s="14"/>
      <c r="F13" s="15"/>
      <c r="G13" s="15"/>
      <c r="H13" s="15"/>
      <c r="I13" s="91"/>
      <c r="J13" s="85"/>
      <c r="AB13" s="100" t="s">
        <v>68</v>
      </c>
      <c r="AC13" s="13"/>
      <c r="AD13" s="13"/>
      <c r="AE13" s="91"/>
      <c r="AF13" s="93"/>
      <c r="AG13" s="15"/>
      <c r="AH13" s="15"/>
      <c r="AI13" s="91"/>
    </row>
    <row r="14" spans="1:35" x14ac:dyDescent="0.35">
      <c r="B14" s="111">
        <f>+'BEST COMBINATION'!B3</f>
        <v>18.5</v>
      </c>
      <c r="C14" s="112">
        <f t="shared" ref="C14:C48" si="0">ROUND($G14+0.105,0)</f>
        <v>23</v>
      </c>
      <c r="D14" s="112">
        <f t="shared" ref="D14:D48" si="1">ROUND($H14+0.105,0)</f>
        <v>149</v>
      </c>
      <c r="E14" s="113">
        <f>+C14+D14</f>
        <v>172</v>
      </c>
      <c r="F14" s="114"/>
      <c r="G14" s="114">
        <f t="shared" ref="G14:G56" si="2">ROUND((H$6-304.8*$B14)/(H$6-G$6)*G$7,1)</f>
        <v>23.3</v>
      </c>
      <c r="H14" s="114">
        <f t="shared" ref="H14:H56" si="3">ROUND((304.8*$B14-G$6)/(H$6-G$6)*H$7,1)</f>
        <v>148.69999999999999</v>
      </c>
      <c r="I14" s="115">
        <f t="shared" ref="I14:I57" si="4">H14+G14</f>
        <v>172</v>
      </c>
      <c r="J14" s="85"/>
      <c r="AB14" s="111">
        <f>+'BEST COMBINATION'!B3</f>
        <v>18.5</v>
      </c>
      <c r="AC14" s="112">
        <f>ROUND($AG14+0.105,0)</f>
        <v>6</v>
      </c>
      <c r="AD14" s="112">
        <f>ROUND($AH14+0.105,0)</f>
        <v>166</v>
      </c>
      <c r="AE14" s="116">
        <f>+AC14+AD14</f>
        <v>172</v>
      </c>
      <c r="AF14" s="117"/>
      <c r="AG14" s="114">
        <f>ROUND((AH$6-304.8*$AB14)/(AH$6-AG$6)*AG$7,1)</f>
        <v>6</v>
      </c>
      <c r="AH14" s="114">
        <f>ROUND((304.8*$AB14-AG$6)/(AH$6-AG$6)*AH$7,1)</f>
        <v>166</v>
      </c>
      <c r="AI14" s="115">
        <f>AH14+AG14</f>
        <v>172</v>
      </c>
    </row>
    <row r="15" spans="1:35" hidden="1" x14ac:dyDescent="0.35">
      <c r="B15" s="7">
        <f t="shared" ref="B15:B48" si="5">B14+E$6/12</f>
        <v>19</v>
      </c>
      <c r="C15" s="15">
        <f t="shared" si="0"/>
        <v>22</v>
      </c>
      <c r="D15" s="15">
        <f t="shared" si="1"/>
        <v>155</v>
      </c>
      <c r="E15" s="14">
        <f t="shared" ref="E15:E48" si="6">C15+D15</f>
        <v>177</v>
      </c>
      <c r="F15" s="2"/>
      <c r="G15" s="2">
        <f t="shared" si="2"/>
        <v>21.7</v>
      </c>
      <c r="H15" s="2">
        <f t="shared" si="3"/>
        <v>154.9</v>
      </c>
      <c r="I15" s="2">
        <f t="shared" si="4"/>
        <v>176.6</v>
      </c>
      <c r="J15" s="85"/>
    </row>
    <row r="16" spans="1:35" hidden="1" x14ac:dyDescent="0.35">
      <c r="B16" s="7">
        <f t="shared" si="5"/>
        <v>19.5</v>
      </c>
      <c r="C16" s="15">
        <f t="shared" si="0"/>
        <v>20</v>
      </c>
      <c r="D16" s="15">
        <f t="shared" si="1"/>
        <v>161</v>
      </c>
      <c r="E16" s="14">
        <f t="shared" si="6"/>
        <v>181</v>
      </c>
      <c r="F16" s="2"/>
      <c r="G16" s="2">
        <f t="shared" si="2"/>
        <v>20.2</v>
      </c>
      <c r="H16" s="2">
        <f t="shared" si="3"/>
        <v>161.1</v>
      </c>
      <c r="I16" s="2">
        <f t="shared" si="4"/>
        <v>181.29999999999998</v>
      </c>
      <c r="J16" s="85"/>
    </row>
    <row r="17" spans="2:10" hidden="1" x14ac:dyDescent="0.35">
      <c r="B17" s="7">
        <f t="shared" si="5"/>
        <v>20</v>
      </c>
      <c r="C17" s="15">
        <f t="shared" si="0"/>
        <v>19</v>
      </c>
      <c r="D17" s="15">
        <f t="shared" si="1"/>
        <v>167</v>
      </c>
      <c r="E17" s="14">
        <f t="shared" si="6"/>
        <v>186</v>
      </c>
      <c r="F17" s="2"/>
      <c r="G17" s="2">
        <f t="shared" si="2"/>
        <v>18.7</v>
      </c>
      <c r="H17" s="2">
        <f t="shared" si="3"/>
        <v>167.2</v>
      </c>
      <c r="I17" s="2">
        <f t="shared" si="4"/>
        <v>185.89999999999998</v>
      </c>
      <c r="J17" s="85"/>
    </row>
    <row r="18" spans="2:10" hidden="1" x14ac:dyDescent="0.35">
      <c r="B18" s="7">
        <f t="shared" si="5"/>
        <v>20.5</v>
      </c>
      <c r="C18" s="15">
        <f t="shared" si="0"/>
        <v>17</v>
      </c>
      <c r="D18" s="15">
        <f t="shared" si="1"/>
        <v>174</v>
      </c>
      <c r="E18" s="14">
        <f t="shared" si="6"/>
        <v>191</v>
      </c>
      <c r="F18" s="2"/>
      <c r="G18" s="2">
        <f t="shared" si="2"/>
        <v>17.100000000000001</v>
      </c>
      <c r="H18" s="2">
        <f t="shared" si="3"/>
        <v>173.4</v>
      </c>
      <c r="I18" s="2">
        <f t="shared" si="4"/>
        <v>190.5</v>
      </c>
      <c r="J18" s="85"/>
    </row>
    <row r="19" spans="2:10" hidden="1" x14ac:dyDescent="0.35">
      <c r="B19" s="7">
        <f t="shared" si="5"/>
        <v>21</v>
      </c>
      <c r="C19" s="15">
        <f t="shared" si="0"/>
        <v>16</v>
      </c>
      <c r="D19" s="15">
        <f t="shared" si="1"/>
        <v>180</v>
      </c>
      <c r="E19" s="14">
        <f t="shared" si="6"/>
        <v>196</v>
      </c>
      <c r="F19" s="2"/>
      <c r="G19" s="2">
        <f t="shared" si="2"/>
        <v>15.6</v>
      </c>
      <c r="H19" s="2">
        <f t="shared" si="3"/>
        <v>179.6</v>
      </c>
      <c r="I19" s="2">
        <f t="shared" si="4"/>
        <v>195.2</v>
      </c>
      <c r="J19" s="85"/>
    </row>
    <row r="20" spans="2:10" hidden="1" x14ac:dyDescent="0.35">
      <c r="B20" s="7">
        <f t="shared" si="5"/>
        <v>21.5</v>
      </c>
      <c r="C20" s="15">
        <f t="shared" si="0"/>
        <v>14</v>
      </c>
      <c r="D20" s="15">
        <f t="shared" si="1"/>
        <v>186</v>
      </c>
      <c r="E20" s="14">
        <f t="shared" si="6"/>
        <v>200</v>
      </c>
      <c r="F20" s="2"/>
      <c r="G20" s="2">
        <f t="shared" si="2"/>
        <v>14.1</v>
      </c>
      <c r="H20" s="2">
        <f t="shared" si="3"/>
        <v>185.8</v>
      </c>
      <c r="I20" s="2">
        <f t="shared" si="4"/>
        <v>199.9</v>
      </c>
      <c r="J20" s="85"/>
    </row>
    <row r="21" spans="2:10" hidden="1" x14ac:dyDescent="0.35">
      <c r="B21" s="7">
        <f t="shared" si="5"/>
        <v>22</v>
      </c>
      <c r="C21" s="15">
        <f t="shared" si="0"/>
        <v>13</v>
      </c>
      <c r="D21" s="15">
        <f t="shared" si="1"/>
        <v>192</v>
      </c>
      <c r="E21" s="14">
        <f t="shared" si="6"/>
        <v>205</v>
      </c>
      <c r="F21" s="2"/>
      <c r="G21" s="2">
        <f t="shared" si="2"/>
        <v>12.5</v>
      </c>
      <c r="H21" s="2">
        <f t="shared" si="3"/>
        <v>192</v>
      </c>
      <c r="I21" s="2">
        <f t="shared" si="4"/>
        <v>204.5</v>
      </c>
      <c r="J21" s="85"/>
    </row>
    <row r="22" spans="2:10" hidden="1" x14ac:dyDescent="0.35">
      <c r="B22" s="7">
        <f t="shared" si="5"/>
        <v>22.5</v>
      </c>
      <c r="C22" s="15">
        <f t="shared" si="0"/>
        <v>11</v>
      </c>
      <c r="D22" s="15">
        <f t="shared" si="1"/>
        <v>198</v>
      </c>
      <c r="E22" s="14">
        <f t="shared" si="6"/>
        <v>209</v>
      </c>
      <c r="F22" s="2"/>
      <c r="G22" s="2">
        <f t="shared" si="2"/>
        <v>11</v>
      </c>
      <c r="H22" s="2">
        <f t="shared" si="3"/>
        <v>198.2</v>
      </c>
      <c r="I22" s="2">
        <f t="shared" si="4"/>
        <v>209.2</v>
      </c>
      <c r="J22" s="85"/>
    </row>
    <row r="23" spans="2:10" hidden="1" x14ac:dyDescent="0.35">
      <c r="B23" s="7">
        <f t="shared" si="5"/>
        <v>23</v>
      </c>
      <c r="C23" s="15">
        <f t="shared" si="0"/>
        <v>10</v>
      </c>
      <c r="D23" s="15">
        <f t="shared" si="1"/>
        <v>204</v>
      </c>
      <c r="E23" s="14">
        <f t="shared" si="6"/>
        <v>214</v>
      </c>
      <c r="F23" s="2"/>
      <c r="G23" s="2">
        <f t="shared" si="2"/>
        <v>9.5</v>
      </c>
      <c r="H23" s="2">
        <f t="shared" si="3"/>
        <v>204.3</v>
      </c>
      <c r="I23" s="2">
        <f t="shared" si="4"/>
        <v>213.8</v>
      </c>
      <c r="J23" s="85"/>
    </row>
    <row r="24" spans="2:10" hidden="1" x14ac:dyDescent="0.35">
      <c r="B24" s="7">
        <f t="shared" si="5"/>
        <v>23.5</v>
      </c>
      <c r="C24" s="15">
        <f t="shared" si="0"/>
        <v>8</v>
      </c>
      <c r="D24" s="15">
        <f t="shared" si="1"/>
        <v>211</v>
      </c>
      <c r="E24" s="14">
        <f t="shared" si="6"/>
        <v>219</v>
      </c>
      <c r="F24" s="2"/>
      <c r="G24" s="2">
        <f t="shared" si="2"/>
        <v>7.9</v>
      </c>
      <c r="H24" s="2">
        <f t="shared" si="3"/>
        <v>210.5</v>
      </c>
      <c r="I24" s="2">
        <f t="shared" si="4"/>
        <v>218.4</v>
      </c>
      <c r="J24" s="85"/>
    </row>
    <row r="25" spans="2:10" hidden="1" x14ac:dyDescent="0.35">
      <c r="B25" s="7">
        <f t="shared" si="5"/>
        <v>24</v>
      </c>
      <c r="C25" s="15">
        <f t="shared" si="0"/>
        <v>7</v>
      </c>
      <c r="D25" s="15">
        <f t="shared" si="1"/>
        <v>217</v>
      </c>
      <c r="E25" s="14">
        <f t="shared" si="6"/>
        <v>224</v>
      </c>
      <c r="F25" s="2"/>
      <c r="G25" s="2">
        <f t="shared" si="2"/>
        <v>6.4</v>
      </c>
      <c r="H25" s="2">
        <f t="shared" si="3"/>
        <v>216.7</v>
      </c>
      <c r="I25" s="2">
        <f t="shared" si="4"/>
        <v>223.1</v>
      </c>
      <c r="J25" s="85"/>
    </row>
    <row r="26" spans="2:10" hidden="1" x14ac:dyDescent="0.35">
      <c r="B26" s="7">
        <f t="shared" si="5"/>
        <v>24.5</v>
      </c>
      <c r="C26" s="15">
        <f t="shared" si="0"/>
        <v>5</v>
      </c>
      <c r="D26" s="15">
        <f t="shared" si="1"/>
        <v>223</v>
      </c>
      <c r="E26" s="14">
        <f t="shared" si="6"/>
        <v>228</v>
      </c>
      <c r="F26" s="2"/>
      <c r="G26" s="2">
        <f t="shared" si="2"/>
        <v>4.9000000000000004</v>
      </c>
      <c r="H26" s="2">
        <f t="shared" si="3"/>
        <v>222.9</v>
      </c>
      <c r="I26" s="2">
        <f t="shared" si="4"/>
        <v>227.8</v>
      </c>
      <c r="J26" s="85"/>
    </row>
    <row r="27" spans="2:10" hidden="1" x14ac:dyDescent="0.35">
      <c r="B27" s="7">
        <f t="shared" si="5"/>
        <v>25</v>
      </c>
      <c r="C27" s="15">
        <f t="shared" si="0"/>
        <v>3</v>
      </c>
      <c r="D27" s="15">
        <f t="shared" si="1"/>
        <v>229</v>
      </c>
      <c r="E27" s="14">
        <f t="shared" si="6"/>
        <v>232</v>
      </c>
      <c r="F27" s="2"/>
      <c r="G27" s="2">
        <f t="shared" si="2"/>
        <v>3.3</v>
      </c>
      <c r="H27" s="2">
        <f t="shared" si="3"/>
        <v>229.1</v>
      </c>
      <c r="I27" s="2">
        <f t="shared" si="4"/>
        <v>232.4</v>
      </c>
      <c r="J27" s="85"/>
    </row>
    <row r="28" spans="2:10" hidden="1" x14ac:dyDescent="0.35">
      <c r="B28" s="7">
        <f t="shared" si="5"/>
        <v>25.5</v>
      </c>
      <c r="C28" s="15">
        <f t="shared" si="0"/>
        <v>2</v>
      </c>
      <c r="D28" s="15">
        <f t="shared" si="1"/>
        <v>235</v>
      </c>
      <c r="E28" s="14">
        <f t="shared" si="6"/>
        <v>237</v>
      </c>
      <c r="F28" s="2"/>
      <c r="G28" s="2">
        <f t="shared" si="2"/>
        <v>1.8</v>
      </c>
      <c r="H28" s="2">
        <f t="shared" si="3"/>
        <v>235.3</v>
      </c>
      <c r="I28" s="2">
        <f t="shared" si="4"/>
        <v>237.10000000000002</v>
      </c>
      <c r="J28" s="85"/>
    </row>
    <row r="29" spans="2:10" hidden="1" x14ac:dyDescent="0.35">
      <c r="B29" s="7">
        <f t="shared" si="5"/>
        <v>26</v>
      </c>
      <c r="C29" s="15">
        <f t="shared" si="0"/>
        <v>0</v>
      </c>
      <c r="D29" s="15">
        <f t="shared" si="1"/>
        <v>242</v>
      </c>
      <c r="E29" s="14">
        <f t="shared" si="6"/>
        <v>242</v>
      </c>
      <c r="F29" s="2"/>
      <c r="G29" s="2">
        <f t="shared" si="2"/>
        <v>0.3</v>
      </c>
      <c r="H29" s="2">
        <f t="shared" si="3"/>
        <v>241.4</v>
      </c>
      <c r="I29" s="2">
        <f t="shared" si="4"/>
        <v>241.70000000000002</v>
      </c>
      <c r="J29" s="85"/>
    </row>
    <row r="30" spans="2:10" hidden="1" x14ac:dyDescent="0.35">
      <c r="B30" s="7">
        <f t="shared" si="5"/>
        <v>26.5</v>
      </c>
      <c r="C30" s="15">
        <f t="shared" si="0"/>
        <v>-1</v>
      </c>
      <c r="D30" s="15">
        <f t="shared" si="1"/>
        <v>248</v>
      </c>
      <c r="E30" s="14">
        <f t="shared" si="6"/>
        <v>247</v>
      </c>
      <c r="F30" s="2"/>
      <c r="G30" s="2">
        <f t="shared" si="2"/>
        <v>-1.3</v>
      </c>
      <c r="H30" s="2">
        <f t="shared" si="3"/>
        <v>247.6</v>
      </c>
      <c r="I30" s="2">
        <f t="shared" si="4"/>
        <v>246.29999999999998</v>
      </c>
      <c r="J30" s="85"/>
    </row>
    <row r="31" spans="2:10" hidden="1" x14ac:dyDescent="0.35">
      <c r="B31" s="7">
        <f t="shared" si="5"/>
        <v>27</v>
      </c>
      <c r="C31" s="15">
        <f t="shared" si="0"/>
        <v>-3</v>
      </c>
      <c r="D31" s="15">
        <f t="shared" si="1"/>
        <v>254</v>
      </c>
      <c r="E31" s="14">
        <f t="shared" si="6"/>
        <v>251</v>
      </c>
      <c r="F31" s="2"/>
      <c r="G31" s="2">
        <f t="shared" si="2"/>
        <v>-2.8</v>
      </c>
      <c r="H31" s="2">
        <f t="shared" si="3"/>
        <v>253.8</v>
      </c>
      <c r="I31" s="2">
        <f t="shared" si="4"/>
        <v>251</v>
      </c>
      <c r="J31" s="85"/>
    </row>
    <row r="32" spans="2:10" hidden="1" x14ac:dyDescent="0.35">
      <c r="B32" s="7">
        <f t="shared" si="5"/>
        <v>27.5</v>
      </c>
      <c r="C32" s="15">
        <f t="shared" si="0"/>
        <v>-4</v>
      </c>
      <c r="D32" s="15">
        <f t="shared" si="1"/>
        <v>260</v>
      </c>
      <c r="E32" s="14">
        <f t="shared" si="6"/>
        <v>256</v>
      </c>
      <c r="F32" s="2"/>
      <c r="G32" s="2">
        <f t="shared" si="2"/>
        <v>-4.3</v>
      </c>
      <c r="H32" s="2">
        <f t="shared" si="3"/>
        <v>260</v>
      </c>
      <c r="I32" s="2">
        <f t="shared" si="4"/>
        <v>255.7</v>
      </c>
      <c r="J32" s="85"/>
    </row>
    <row r="33" spans="2:10" hidden="1" x14ac:dyDescent="0.35">
      <c r="B33" s="7">
        <f t="shared" si="5"/>
        <v>28</v>
      </c>
      <c r="C33" s="15">
        <f t="shared" si="0"/>
        <v>-6</v>
      </c>
      <c r="D33" s="15">
        <f t="shared" si="1"/>
        <v>266</v>
      </c>
      <c r="E33" s="14">
        <f t="shared" si="6"/>
        <v>260</v>
      </c>
      <c r="F33" s="2"/>
      <c r="G33" s="2">
        <f t="shared" si="2"/>
        <v>-5.9</v>
      </c>
      <c r="H33" s="2">
        <f t="shared" si="3"/>
        <v>266.2</v>
      </c>
      <c r="I33" s="2">
        <f t="shared" si="4"/>
        <v>260.3</v>
      </c>
      <c r="J33" s="85"/>
    </row>
    <row r="34" spans="2:10" hidden="1" x14ac:dyDescent="0.35">
      <c r="B34" s="7">
        <f t="shared" si="5"/>
        <v>28.5</v>
      </c>
      <c r="C34" s="15">
        <f t="shared" si="0"/>
        <v>-7</v>
      </c>
      <c r="D34" s="15">
        <f t="shared" si="1"/>
        <v>272</v>
      </c>
      <c r="E34" s="14">
        <f t="shared" si="6"/>
        <v>265</v>
      </c>
      <c r="F34" s="2"/>
      <c r="G34" s="2">
        <f t="shared" si="2"/>
        <v>-7.4</v>
      </c>
      <c r="H34" s="2">
        <f t="shared" si="3"/>
        <v>272.3</v>
      </c>
      <c r="I34" s="2">
        <f t="shared" si="4"/>
        <v>264.90000000000003</v>
      </c>
      <c r="J34" s="85"/>
    </row>
    <row r="35" spans="2:10" hidden="1" x14ac:dyDescent="0.35">
      <c r="B35" s="7">
        <f t="shared" si="5"/>
        <v>29</v>
      </c>
      <c r="C35" s="15">
        <f t="shared" si="0"/>
        <v>-9</v>
      </c>
      <c r="D35" s="15">
        <f t="shared" si="1"/>
        <v>279</v>
      </c>
      <c r="E35" s="14">
        <f t="shared" si="6"/>
        <v>270</v>
      </c>
      <c r="F35" s="2"/>
      <c r="G35" s="2">
        <f t="shared" si="2"/>
        <v>-8.9</v>
      </c>
      <c r="H35" s="2">
        <f t="shared" si="3"/>
        <v>278.5</v>
      </c>
      <c r="I35" s="2">
        <f t="shared" si="4"/>
        <v>269.60000000000002</v>
      </c>
      <c r="J35" s="85"/>
    </row>
    <row r="36" spans="2:10" hidden="1" x14ac:dyDescent="0.35">
      <c r="B36" s="7">
        <f t="shared" si="5"/>
        <v>29.5</v>
      </c>
      <c r="C36" s="15">
        <f t="shared" si="0"/>
        <v>-10</v>
      </c>
      <c r="D36" s="15">
        <f t="shared" si="1"/>
        <v>285</v>
      </c>
      <c r="E36" s="14">
        <f t="shared" si="6"/>
        <v>275</v>
      </c>
      <c r="F36" s="2"/>
      <c r="G36" s="2">
        <f t="shared" si="2"/>
        <v>-10.5</v>
      </c>
      <c r="H36" s="2">
        <f t="shared" si="3"/>
        <v>284.7</v>
      </c>
      <c r="I36" s="2">
        <f t="shared" si="4"/>
        <v>274.2</v>
      </c>
      <c r="J36" s="85"/>
    </row>
    <row r="37" spans="2:10" hidden="1" x14ac:dyDescent="0.35">
      <c r="B37" s="7">
        <f t="shared" si="5"/>
        <v>30</v>
      </c>
      <c r="C37" s="15">
        <f t="shared" si="0"/>
        <v>-12</v>
      </c>
      <c r="D37" s="15">
        <f t="shared" si="1"/>
        <v>291</v>
      </c>
      <c r="E37" s="14">
        <f t="shared" si="6"/>
        <v>279</v>
      </c>
      <c r="F37" s="2"/>
      <c r="G37" s="2">
        <f t="shared" si="2"/>
        <v>-12</v>
      </c>
      <c r="H37" s="2">
        <f t="shared" si="3"/>
        <v>290.89999999999998</v>
      </c>
      <c r="I37" s="2">
        <f t="shared" si="4"/>
        <v>278.89999999999998</v>
      </c>
      <c r="J37" s="85"/>
    </row>
    <row r="38" spans="2:10" hidden="1" x14ac:dyDescent="0.35">
      <c r="B38" s="7">
        <f t="shared" si="5"/>
        <v>30.5</v>
      </c>
      <c r="C38" s="15">
        <f t="shared" si="0"/>
        <v>-13</v>
      </c>
      <c r="D38" s="15">
        <f t="shared" si="1"/>
        <v>297</v>
      </c>
      <c r="E38" s="14">
        <f t="shared" si="6"/>
        <v>284</v>
      </c>
      <c r="F38" s="2"/>
      <c r="G38" s="2">
        <f t="shared" si="2"/>
        <v>-13.5</v>
      </c>
      <c r="H38" s="2">
        <f t="shared" si="3"/>
        <v>297.10000000000002</v>
      </c>
      <c r="I38" s="2">
        <f t="shared" si="4"/>
        <v>283.60000000000002</v>
      </c>
      <c r="J38" s="85"/>
    </row>
    <row r="39" spans="2:10" hidden="1" x14ac:dyDescent="0.35">
      <c r="B39" s="7">
        <f t="shared" si="5"/>
        <v>31</v>
      </c>
      <c r="C39" s="15">
        <f t="shared" si="0"/>
        <v>-15</v>
      </c>
      <c r="D39" s="15">
        <f t="shared" si="1"/>
        <v>303</v>
      </c>
      <c r="E39" s="14">
        <f t="shared" si="6"/>
        <v>288</v>
      </c>
      <c r="F39" s="2"/>
      <c r="G39" s="2">
        <f t="shared" si="2"/>
        <v>-15.1</v>
      </c>
      <c r="H39" s="2">
        <f t="shared" si="3"/>
        <v>303.3</v>
      </c>
      <c r="I39" s="2">
        <f t="shared" si="4"/>
        <v>288.2</v>
      </c>
      <c r="J39" s="85"/>
    </row>
    <row r="40" spans="2:10" hidden="1" x14ac:dyDescent="0.35">
      <c r="B40" s="7">
        <f t="shared" si="5"/>
        <v>31.5</v>
      </c>
      <c r="C40" s="15">
        <f t="shared" si="0"/>
        <v>-16</v>
      </c>
      <c r="D40" s="15">
        <f t="shared" si="1"/>
        <v>310</v>
      </c>
      <c r="E40" s="14">
        <f t="shared" si="6"/>
        <v>294</v>
      </c>
      <c r="F40" s="2"/>
      <c r="G40" s="2">
        <f t="shared" si="2"/>
        <v>-16.600000000000001</v>
      </c>
      <c r="H40" s="2">
        <f t="shared" si="3"/>
        <v>309.39999999999998</v>
      </c>
      <c r="I40" s="2">
        <f t="shared" si="4"/>
        <v>292.79999999999995</v>
      </c>
      <c r="J40" s="85"/>
    </row>
    <row r="41" spans="2:10" hidden="1" x14ac:dyDescent="0.35">
      <c r="B41" s="7">
        <f t="shared" si="5"/>
        <v>32</v>
      </c>
      <c r="C41" s="15">
        <f t="shared" si="0"/>
        <v>-18</v>
      </c>
      <c r="D41" s="15">
        <f t="shared" si="1"/>
        <v>316</v>
      </c>
      <c r="E41" s="14">
        <f t="shared" si="6"/>
        <v>298</v>
      </c>
      <c r="F41" s="2"/>
      <c r="G41" s="2">
        <f t="shared" si="2"/>
        <v>-18.100000000000001</v>
      </c>
      <c r="H41" s="2">
        <f t="shared" si="3"/>
        <v>315.60000000000002</v>
      </c>
      <c r="I41" s="2">
        <f t="shared" si="4"/>
        <v>297.5</v>
      </c>
      <c r="J41" s="85"/>
    </row>
    <row r="42" spans="2:10" hidden="1" x14ac:dyDescent="0.35">
      <c r="B42" s="7">
        <f t="shared" si="5"/>
        <v>32.5</v>
      </c>
      <c r="C42" s="15">
        <f t="shared" si="0"/>
        <v>-20</v>
      </c>
      <c r="D42" s="15">
        <f t="shared" si="1"/>
        <v>322</v>
      </c>
      <c r="E42" s="14">
        <f t="shared" si="6"/>
        <v>302</v>
      </c>
      <c r="F42" s="2"/>
      <c r="G42" s="2">
        <f t="shared" si="2"/>
        <v>-19.7</v>
      </c>
      <c r="H42" s="2">
        <f t="shared" si="3"/>
        <v>321.8</v>
      </c>
      <c r="I42" s="2">
        <f t="shared" si="4"/>
        <v>302.10000000000002</v>
      </c>
      <c r="J42" s="85"/>
    </row>
    <row r="43" spans="2:10" hidden="1" x14ac:dyDescent="0.35">
      <c r="B43" s="7">
        <f t="shared" si="5"/>
        <v>33</v>
      </c>
      <c r="C43" s="15">
        <f t="shared" si="0"/>
        <v>-21</v>
      </c>
      <c r="D43" s="15">
        <f t="shared" si="1"/>
        <v>328</v>
      </c>
      <c r="E43" s="14">
        <f t="shared" si="6"/>
        <v>307</v>
      </c>
      <c r="F43" s="2"/>
      <c r="G43" s="2">
        <f t="shared" si="2"/>
        <v>-21.2</v>
      </c>
      <c r="H43" s="2">
        <f t="shared" si="3"/>
        <v>328</v>
      </c>
      <c r="I43" s="2">
        <f t="shared" si="4"/>
        <v>306.8</v>
      </c>
      <c r="J43" s="85"/>
    </row>
    <row r="44" spans="2:10" hidden="1" x14ac:dyDescent="0.35">
      <c r="B44" s="7">
        <f t="shared" si="5"/>
        <v>33.5</v>
      </c>
      <c r="C44" s="15">
        <f t="shared" si="0"/>
        <v>-23</v>
      </c>
      <c r="D44" s="15">
        <f t="shared" si="1"/>
        <v>334</v>
      </c>
      <c r="E44" s="14">
        <f t="shared" si="6"/>
        <v>311</v>
      </c>
      <c r="F44" s="2"/>
      <c r="G44" s="2">
        <f t="shared" si="2"/>
        <v>-22.7</v>
      </c>
      <c r="H44" s="2">
        <f t="shared" si="3"/>
        <v>334.2</v>
      </c>
      <c r="I44" s="2">
        <f t="shared" si="4"/>
        <v>311.5</v>
      </c>
      <c r="J44" s="85"/>
    </row>
    <row r="45" spans="2:10" hidden="1" x14ac:dyDescent="0.35">
      <c r="B45" s="7">
        <f t="shared" si="5"/>
        <v>34</v>
      </c>
      <c r="C45" s="15">
        <f t="shared" si="0"/>
        <v>-24</v>
      </c>
      <c r="D45" s="15">
        <f t="shared" si="1"/>
        <v>341</v>
      </c>
      <c r="E45" s="14">
        <f t="shared" si="6"/>
        <v>317</v>
      </c>
      <c r="F45" s="2"/>
      <c r="G45" s="2">
        <f t="shared" si="2"/>
        <v>-24.3</v>
      </c>
      <c r="H45" s="2">
        <f t="shared" si="3"/>
        <v>340.4</v>
      </c>
      <c r="I45" s="2">
        <f t="shared" si="4"/>
        <v>316.09999999999997</v>
      </c>
      <c r="J45" s="85"/>
    </row>
    <row r="46" spans="2:10" hidden="1" x14ac:dyDescent="0.35">
      <c r="B46" s="7">
        <f t="shared" si="5"/>
        <v>34.5</v>
      </c>
      <c r="C46" s="15">
        <f t="shared" si="0"/>
        <v>-26</v>
      </c>
      <c r="D46" s="15">
        <f t="shared" si="1"/>
        <v>347</v>
      </c>
      <c r="E46" s="14">
        <f t="shared" si="6"/>
        <v>321</v>
      </c>
      <c r="F46" s="2"/>
      <c r="G46" s="2">
        <f t="shared" si="2"/>
        <v>-25.8</v>
      </c>
      <c r="H46" s="2">
        <f t="shared" si="3"/>
        <v>346.5</v>
      </c>
      <c r="I46" s="2">
        <f t="shared" si="4"/>
        <v>320.7</v>
      </c>
      <c r="J46" s="85"/>
    </row>
    <row r="47" spans="2:10" hidden="1" x14ac:dyDescent="0.35">
      <c r="B47" s="7">
        <f t="shared" si="5"/>
        <v>35</v>
      </c>
      <c r="C47" s="15">
        <f t="shared" si="0"/>
        <v>-27</v>
      </c>
      <c r="D47" s="15">
        <f t="shared" si="1"/>
        <v>353</v>
      </c>
      <c r="E47" s="14">
        <f t="shared" si="6"/>
        <v>326</v>
      </c>
      <c r="F47" s="2"/>
      <c r="G47" s="2">
        <f t="shared" si="2"/>
        <v>-27.3</v>
      </c>
      <c r="H47" s="2">
        <f t="shared" si="3"/>
        <v>352.7</v>
      </c>
      <c r="I47" s="2">
        <f t="shared" si="4"/>
        <v>325.39999999999998</v>
      </c>
      <c r="J47" s="85"/>
    </row>
    <row r="48" spans="2:10" hidden="1" x14ac:dyDescent="0.35">
      <c r="B48" s="7">
        <f t="shared" si="5"/>
        <v>35.5</v>
      </c>
      <c r="C48" s="15">
        <f t="shared" si="0"/>
        <v>-29</v>
      </c>
      <c r="D48" s="15">
        <f t="shared" si="1"/>
        <v>359</v>
      </c>
      <c r="E48" s="14">
        <f t="shared" si="6"/>
        <v>330</v>
      </c>
      <c r="F48" s="2"/>
      <c r="G48" s="2">
        <f t="shared" si="2"/>
        <v>-28.9</v>
      </c>
      <c r="H48" s="2">
        <f t="shared" si="3"/>
        <v>358.9</v>
      </c>
      <c r="I48" s="2">
        <f t="shared" si="4"/>
        <v>330</v>
      </c>
      <c r="J48" s="85"/>
    </row>
    <row r="49" spans="1:31" ht="16" hidden="1" thickBot="1" x14ac:dyDescent="0.4">
      <c r="B49" s="118"/>
      <c r="C49" s="18"/>
      <c r="D49" s="18"/>
      <c r="E49" s="19"/>
      <c r="F49" s="2"/>
      <c r="G49" s="2">
        <f t="shared" si="2"/>
        <v>80</v>
      </c>
      <c r="H49" s="2">
        <f t="shared" si="3"/>
        <v>-80</v>
      </c>
      <c r="I49" s="2">
        <f t="shared" si="4"/>
        <v>0</v>
      </c>
      <c r="J49" s="85"/>
    </row>
    <row r="50" spans="1:31" hidden="1" x14ac:dyDescent="0.35">
      <c r="B50" s="119"/>
      <c r="F50" s="2"/>
      <c r="G50" s="2">
        <f t="shared" si="2"/>
        <v>80</v>
      </c>
      <c r="H50" s="2">
        <f t="shared" si="3"/>
        <v>-80</v>
      </c>
      <c r="I50" s="2">
        <f t="shared" si="4"/>
        <v>0</v>
      </c>
      <c r="J50" s="85"/>
    </row>
    <row r="51" spans="1:31" hidden="1" x14ac:dyDescent="0.35">
      <c r="B51" s="119"/>
      <c r="F51" s="2"/>
      <c r="G51" s="2">
        <f t="shared" si="2"/>
        <v>80</v>
      </c>
      <c r="H51" s="2">
        <f t="shared" si="3"/>
        <v>-80</v>
      </c>
      <c r="I51" s="2">
        <f t="shared" si="4"/>
        <v>0</v>
      </c>
      <c r="J51" s="85"/>
    </row>
    <row r="52" spans="1:31" hidden="1" x14ac:dyDescent="0.35">
      <c r="B52" s="119"/>
      <c r="F52" s="2"/>
      <c r="G52" s="2">
        <f t="shared" si="2"/>
        <v>80</v>
      </c>
      <c r="H52" s="2">
        <f t="shared" si="3"/>
        <v>-80</v>
      </c>
      <c r="I52" s="2">
        <f t="shared" si="4"/>
        <v>0</v>
      </c>
      <c r="J52" s="85"/>
    </row>
    <row r="53" spans="1:31" hidden="1" x14ac:dyDescent="0.35">
      <c r="B53" s="119"/>
      <c r="F53" s="2"/>
      <c r="G53" s="2">
        <f t="shared" si="2"/>
        <v>80</v>
      </c>
      <c r="H53" s="2">
        <f t="shared" si="3"/>
        <v>-80</v>
      </c>
      <c r="I53" s="2">
        <f t="shared" si="4"/>
        <v>0</v>
      </c>
      <c r="J53" s="85"/>
    </row>
    <row r="54" spans="1:31" hidden="1" x14ac:dyDescent="0.35">
      <c r="B54" s="119"/>
      <c r="F54" s="2"/>
      <c r="G54" s="2">
        <f t="shared" si="2"/>
        <v>80</v>
      </c>
      <c r="H54" s="2">
        <f t="shared" si="3"/>
        <v>-80</v>
      </c>
      <c r="I54" s="2">
        <f t="shared" si="4"/>
        <v>0</v>
      </c>
      <c r="J54" s="85"/>
    </row>
    <row r="55" spans="1:31" x14ac:dyDescent="0.35">
      <c r="B55" s="119"/>
      <c r="F55" s="2"/>
      <c r="G55" s="2">
        <f t="shared" si="2"/>
        <v>80</v>
      </c>
      <c r="H55" s="2">
        <f t="shared" si="3"/>
        <v>-80</v>
      </c>
      <c r="I55" s="2">
        <f t="shared" si="4"/>
        <v>0</v>
      </c>
    </row>
    <row r="56" spans="1:31" ht="16" thickBot="1" x14ac:dyDescent="0.4">
      <c r="B56" s="119"/>
      <c r="F56" s="2"/>
      <c r="G56" s="2">
        <f t="shared" si="2"/>
        <v>80</v>
      </c>
      <c r="H56" s="2">
        <f t="shared" si="3"/>
        <v>-80</v>
      </c>
      <c r="I56" s="2">
        <f t="shared" si="4"/>
        <v>0</v>
      </c>
    </row>
    <row r="57" spans="1:31" ht="16" thickBot="1" x14ac:dyDescent="0.4">
      <c r="A57" s="1" t="s">
        <v>134</v>
      </c>
      <c r="B57"/>
      <c r="C57" s="1">
        <f>IF(C14&lt;1,1,0)</f>
        <v>0</v>
      </c>
      <c r="D57" s="1">
        <f>IF(D14&lt;1,1,0)</f>
        <v>0</v>
      </c>
      <c r="E57" s="125">
        <f>+C57+D57</f>
        <v>0</v>
      </c>
      <c r="G57" s="2" t="e">
        <f>ROUND((H$6-304.8*$A57)/(H$6-G$6)*G$7,1)</f>
        <v>#VALUE!</v>
      </c>
      <c r="H57" s="2" t="e">
        <f>ROUND((304.8*$A57-G$6)/(H$6-G$6)*H$7,1)</f>
        <v>#VALUE!</v>
      </c>
      <c r="I57" s="2" t="e">
        <f t="shared" si="4"/>
        <v>#VALUE!</v>
      </c>
      <c r="AC57" s="1">
        <f>IF(AC14&lt;1,1,0)</f>
        <v>0</v>
      </c>
      <c r="AD57" s="1">
        <f>IF(AD14&lt;1,1,0)</f>
        <v>0</v>
      </c>
      <c r="AE57" s="125">
        <f>+AC57+AD57</f>
        <v>0</v>
      </c>
    </row>
    <row r="58" spans="1:31" x14ac:dyDescent="0.35">
      <c r="B58" s="124" t="s">
        <v>135</v>
      </c>
    </row>
  </sheetData>
  <sheetProtection password="D6A7" sheet="1" objects="1" scenarios="1"/>
  <phoneticPr fontId="19" type="noConversion"/>
  <printOptions gridLines="1" gridLinesSet="0"/>
  <pageMargins left="0.75" right="0.75" top="1" bottom="1" header="0.4921259845" footer="0.492125984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1:AY355"/>
  <sheetViews>
    <sheetView workbookViewId="0">
      <selection activeCell="L13" sqref="L13"/>
    </sheetView>
  </sheetViews>
  <sheetFormatPr defaultColWidth="11.61328125" defaultRowHeight="15.5" x14ac:dyDescent="0.35"/>
  <cols>
    <col min="1" max="1" width="13.3828125" style="3" bestFit="1" customWidth="1"/>
    <col min="2" max="2" width="6.921875" style="3" bestFit="1" customWidth="1"/>
    <col min="3" max="5" width="11.61328125" style="20" customWidth="1"/>
    <col min="6" max="6" width="11.61328125" style="3" customWidth="1"/>
    <col min="7" max="7" width="7.3046875" style="190" customWidth="1"/>
    <col min="8" max="9" width="11.61328125" style="3" customWidth="1"/>
    <col min="10" max="10" width="9.61328125" style="3" customWidth="1"/>
  </cols>
  <sheetData>
    <row r="1" spans="1:51" s="6" customFormat="1" ht="33.75" customHeight="1" x14ac:dyDescent="0.35">
      <c r="A1" s="198" t="s">
        <v>40</v>
      </c>
      <c r="B1" s="199" t="s">
        <v>138</v>
      </c>
      <c r="C1" s="198" t="s">
        <v>139</v>
      </c>
      <c r="D1" s="198" t="s">
        <v>140</v>
      </c>
      <c r="E1" s="198" t="s">
        <v>30</v>
      </c>
      <c r="F1" s="200" t="s">
        <v>32</v>
      </c>
      <c r="G1" s="201" t="s">
        <v>141</v>
      </c>
      <c r="H1" s="199" t="s">
        <v>142</v>
      </c>
      <c r="I1" s="199" t="s">
        <v>143</v>
      </c>
      <c r="J1" s="199" t="s">
        <v>144</v>
      </c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</row>
    <row r="2" spans="1:51" x14ac:dyDescent="0.35">
      <c r="A2" s="202" t="s">
        <v>145</v>
      </c>
      <c r="B2" s="203" t="s">
        <v>102</v>
      </c>
      <c r="C2" s="204">
        <v>103</v>
      </c>
      <c r="D2" s="205">
        <v>81</v>
      </c>
      <c r="E2" s="205">
        <v>160</v>
      </c>
      <c r="F2" s="206" t="s">
        <v>146</v>
      </c>
      <c r="G2" s="207">
        <v>2.91</v>
      </c>
      <c r="H2" s="208" t="s">
        <v>116</v>
      </c>
      <c r="I2" s="208" t="s">
        <v>116</v>
      </c>
      <c r="J2" s="208">
        <v>198</v>
      </c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</row>
    <row r="3" spans="1:51" x14ac:dyDescent="0.35">
      <c r="A3" s="202" t="s">
        <v>147</v>
      </c>
      <c r="B3" s="203" t="s">
        <v>102</v>
      </c>
      <c r="C3" s="204">
        <v>103</v>
      </c>
      <c r="D3" s="205">
        <v>72.5</v>
      </c>
      <c r="E3" s="205">
        <v>220</v>
      </c>
      <c r="F3" s="209" t="s">
        <v>148</v>
      </c>
      <c r="G3" s="207">
        <v>3.82</v>
      </c>
      <c r="H3" s="208" t="s">
        <v>116</v>
      </c>
      <c r="I3" s="208" t="s">
        <v>116</v>
      </c>
      <c r="J3" s="208">
        <v>198</v>
      </c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</row>
    <row r="4" spans="1:51" x14ac:dyDescent="0.35">
      <c r="A4" s="202" t="s">
        <v>112</v>
      </c>
      <c r="B4" s="203" t="s">
        <v>102</v>
      </c>
      <c r="C4" s="204">
        <v>103</v>
      </c>
      <c r="D4" s="205">
        <v>86</v>
      </c>
      <c r="E4" s="205">
        <v>160</v>
      </c>
      <c r="F4" s="206" t="s">
        <v>149</v>
      </c>
      <c r="G4" s="207">
        <v>2.99</v>
      </c>
      <c r="H4" s="208">
        <v>180</v>
      </c>
      <c r="I4" s="210">
        <v>180</v>
      </c>
      <c r="J4" s="208">
        <v>198</v>
      </c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</row>
    <row r="5" spans="1:51" x14ac:dyDescent="0.35">
      <c r="A5" s="202" t="s">
        <v>117</v>
      </c>
      <c r="B5" s="203" t="s">
        <v>102</v>
      </c>
      <c r="C5" s="204">
        <v>103</v>
      </c>
      <c r="D5" s="205">
        <v>84</v>
      </c>
      <c r="E5" s="205">
        <v>180</v>
      </c>
      <c r="F5" s="206" t="s">
        <v>150</v>
      </c>
      <c r="G5" s="207">
        <v>3.33</v>
      </c>
      <c r="H5" s="208">
        <v>180</v>
      </c>
      <c r="I5" s="210">
        <v>180</v>
      </c>
      <c r="J5" s="208">
        <v>198</v>
      </c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</row>
    <row r="6" spans="1:51" x14ac:dyDescent="0.35">
      <c r="A6" s="202" t="s">
        <v>151</v>
      </c>
      <c r="B6" s="203" t="s">
        <v>102</v>
      </c>
      <c r="C6" s="204">
        <v>103</v>
      </c>
      <c r="D6" s="205">
        <v>82</v>
      </c>
      <c r="E6" s="205">
        <v>200</v>
      </c>
      <c r="F6" s="206" t="s">
        <v>152</v>
      </c>
      <c r="G6" s="207">
        <v>3.66</v>
      </c>
      <c r="H6" s="208">
        <v>144</v>
      </c>
      <c r="I6" s="210">
        <v>144</v>
      </c>
      <c r="J6" s="208">
        <v>198</v>
      </c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</row>
    <row r="7" spans="1:51" x14ac:dyDescent="0.35">
      <c r="A7" s="202" t="s">
        <v>130</v>
      </c>
      <c r="B7" s="203" t="s">
        <v>102</v>
      </c>
      <c r="C7" s="204">
        <v>103</v>
      </c>
      <c r="D7" s="205">
        <v>80</v>
      </c>
      <c r="E7" s="205">
        <v>220</v>
      </c>
      <c r="F7" s="209" t="s">
        <v>153</v>
      </c>
      <c r="G7" s="207">
        <v>3.99</v>
      </c>
      <c r="H7" s="208">
        <v>144</v>
      </c>
      <c r="I7" s="208">
        <v>144</v>
      </c>
      <c r="J7" s="208">
        <v>198</v>
      </c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</row>
    <row r="8" spans="1:51" x14ac:dyDescent="0.35">
      <c r="A8" s="202" t="s">
        <v>154</v>
      </c>
      <c r="B8" s="203" t="s">
        <v>102</v>
      </c>
      <c r="C8" s="204">
        <v>103</v>
      </c>
      <c r="D8" s="205">
        <v>77</v>
      </c>
      <c r="E8" s="205">
        <v>250</v>
      </c>
      <c r="F8" s="209" t="s">
        <v>155</v>
      </c>
      <c r="G8" s="207">
        <v>4.46</v>
      </c>
      <c r="H8" s="208">
        <v>126</v>
      </c>
      <c r="I8" s="208">
        <v>126</v>
      </c>
      <c r="J8" s="208">
        <v>198</v>
      </c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</row>
    <row r="9" spans="1:51" x14ac:dyDescent="0.35">
      <c r="A9" s="202" t="s">
        <v>156</v>
      </c>
      <c r="B9" s="203" t="s">
        <v>102</v>
      </c>
      <c r="C9" s="204">
        <v>103</v>
      </c>
      <c r="D9" s="205">
        <v>92</v>
      </c>
      <c r="E9" s="205">
        <v>160</v>
      </c>
      <c r="F9" s="209" t="s">
        <v>157</v>
      </c>
      <c r="G9" s="207">
        <v>3.09</v>
      </c>
      <c r="H9" s="208">
        <v>180</v>
      </c>
      <c r="I9" s="208">
        <v>180</v>
      </c>
      <c r="J9" s="208">
        <v>198</v>
      </c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</row>
    <row r="10" spans="1:51" x14ac:dyDescent="0.35">
      <c r="A10" s="202" t="s">
        <v>158</v>
      </c>
      <c r="B10" s="203" t="s">
        <v>102</v>
      </c>
      <c r="C10" s="204">
        <v>103</v>
      </c>
      <c r="D10" s="205">
        <v>90.5</v>
      </c>
      <c r="E10" s="205">
        <v>180</v>
      </c>
      <c r="F10" s="209" t="s">
        <v>159</v>
      </c>
      <c r="G10" s="207">
        <v>3.45</v>
      </c>
      <c r="H10" s="208">
        <v>180</v>
      </c>
      <c r="I10" s="208">
        <v>180</v>
      </c>
      <c r="J10" s="208">
        <v>198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</row>
    <row r="11" spans="1:51" x14ac:dyDescent="0.35">
      <c r="A11" s="202" t="s">
        <v>49</v>
      </c>
      <c r="B11" s="203" t="s">
        <v>102</v>
      </c>
      <c r="C11" s="204">
        <v>103</v>
      </c>
      <c r="D11" s="205">
        <v>89</v>
      </c>
      <c r="E11" s="205">
        <v>200</v>
      </c>
      <c r="F11" s="209" t="s">
        <v>160</v>
      </c>
      <c r="G11" s="207">
        <v>3.8</v>
      </c>
      <c r="H11" s="208">
        <v>144</v>
      </c>
      <c r="I11" s="210">
        <v>144</v>
      </c>
      <c r="J11" s="208">
        <v>198</v>
      </c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</row>
    <row r="12" spans="1:51" x14ac:dyDescent="0.35">
      <c r="A12" s="202" t="s">
        <v>124</v>
      </c>
      <c r="B12" s="203" t="s">
        <v>102</v>
      </c>
      <c r="C12" s="204">
        <v>103</v>
      </c>
      <c r="D12" s="205">
        <v>88</v>
      </c>
      <c r="E12" s="205">
        <v>220</v>
      </c>
      <c r="F12" s="206" t="s">
        <v>161</v>
      </c>
      <c r="G12" s="207">
        <v>4.16</v>
      </c>
      <c r="H12" s="208">
        <v>144</v>
      </c>
      <c r="I12" s="210">
        <v>144</v>
      </c>
      <c r="J12" s="208">
        <v>198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</row>
    <row r="13" spans="1:51" x14ac:dyDescent="0.35">
      <c r="A13" s="202" t="s">
        <v>334</v>
      </c>
      <c r="B13" s="203" t="s">
        <v>102</v>
      </c>
      <c r="C13" s="204">
        <v>103</v>
      </c>
      <c r="D13" s="205">
        <v>88</v>
      </c>
      <c r="E13" s="205">
        <v>220</v>
      </c>
      <c r="F13" s="209" t="s">
        <v>337</v>
      </c>
      <c r="G13" s="211">
        <v>6.4020000000000001</v>
      </c>
      <c r="H13" s="208" t="s">
        <v>116</v>
      </c>
      <c r="I13" s="208" t="s">
        <v>116</v>
      </c>
      <c r="J13" s="208">
        <v>304.8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</row>
    <row r="14" spans="1:51" x14ac:dyDescent="0.35">
      <c r="A14" s="202" t="s">
        <v>162</v>
      </c>
      <c r="B14" s="203" t="s">
        <v>102</v>
      </c>
      <c r="C14" s="204">
        <v>103</v>
      </c>
      <c r="D14" s="205">
        <v>86</v>
      </c>
      <c r="E14" s="205">
        <v>250</v>
      </c>
      <c r="F14" s="209" t="s">
        <v>163</v>
      </c>
      <c r="G14" s="207">
        <v>4.68</v>
      </c>
      <c r="H14" s="208" t="s">
        <v>116</v>
      </c>
      <c r="I14" s="208" t="s">
        <v>116</v>
      </c>
      <c r="J14" s="208">
        <v>198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</row>
    <row r="15" spans="1:51" x14ac:dyDescent="0.35">
      <c r="A15" s="202" t="s">
        <v>164</v>
      </c>
      <c r="B15" s="203" t="s">
        <v>102</v>
      </c>
      <c r="C15" s="204">
        <v>103</v>
      </c>
      <c r="D15" s="205">
        <v>86</v>
      </c>
      <c r="E15" s="205">
        <v>250</v>
      </c>
      <c r="F15" s="209" t="s">
        <v>165</v>
      </c>
      <c r="G15" s="207">
        <v>7.2</v>
      </c>
      <c r="H15" s="208" t="s">
        <v>166</v>
      </c>
      <c r="I15" s="208" t="s">
        <v>166</v>
      </c>
      <c r="J15" s="208">
        <v>304.8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</row>
    <row r="16" spans="1:51" x14ac:dyDescent="0.35">
      <c r="A16" s="202" t="s">
        <v>167</v>
      </c>
      <c r="B16" s="203" t="s">
        <v>102</v>
      </c>
      <c r="C16" s="204">
        <v>103</v>
      </c>
      <c r="D16" s="205">
        <v>94.5</v>
      </c>
      <c r="E16" s="205">
        <v>160</v>
      </c>
      <c r="F16" s="209" t="s">
        <v>168</v>
      </c>
      <c r="G16" s="207">
        <v>3.13</v>
      </c>
      <c r="H16" s="208">
        <v>180</v>
      </c>
      <c r="I16" s="208">
        <v>180</v>
      </c>
      <c r="J16" s="208">
        <v>198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</row>
    <row r="17" spans="1:51" x14ac:dyDescent="0.35">
      <c r="A17" s="202" t="s">
        <v>169</v>
      </c>
      <c r="B17" s="203" t="s">
        <v>102</v>
      </c>
      <c r="C17" s="204">
        <v>103</v>
      </c>
      <c r="D17" s="205">
        <v>93.5</v>
      </c>
      <c r="E17" s="205">
        <v>180</v>
      </c>
      <c r="F17" s="209" t="s">
        <v>170</v>
      </c>
      <c r="G17" s="207">
        <v>3.5</v>
      </c>
      <c r="H17" s="208">
        <v>180</v>
      </c>
      <c r="I17" s="208">
        <v>180</v>
      </c>
      <c r="J17" s="208">
        <v>198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</row>
    <row r="18" spans="1:51" x14ac:dyDescent="0.35">
      <c r="A18" s="202" t="s">
        <v>346</v>
      </c>
      <c r="B18" s="203" t="s">
        <v>102</v>
      </c>
      <c r="C18" s="204">
        <v>103</v>
      </c>
      <c r="D18" s="205">
        <v>91.5</v>
      </c>
      <c r="E18" s="205">
        <v>220</v>
      </c>
      <c r="F18" s="206" t="s">
        <v>345</v>
      </c>
      <c r="G18" s="207">
        <v>4.24</v>
      </c>
      <c r="H18" s="208">
        <v>144</v>
      </c>
      <c r="I18" s="208">
        <v>144</v>
      </c>
      <c r="J18" s="208">
        <v>198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</row>
    <row r="19" spans="1:51" x14ac:dyDescent="0.35">
      <c r="A19" s="202" t="s">
        <v>171</v>
      </c>
      <c r="B19" s="203" t="s">
        <v>102</v>
      </c>
      <c r="C19" s="204">
        <v>103</v>
      </c>
      <c r="D19" s="205">
        <v>90</v>
      </c>
      <c r="E19" s="205">
        <v>250</v>
      </c>
      <c r="F19" s="209" t="s">
        <v>172</v>
      </c>
      <c r="G19" s="207">
        <v>4.78</v>
      </c>
      <c r="H19" s="208" t="s">
        <v>116</v>
      </c>
      <c r="I19" s="208" t="s">
        <v>116</v>
      </c>
      <c r="J19" s="208">
        <v>198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</row>
    <row r="20" spans="1:51" x14ac:dyDescent="0.35">
      <c r="A20" s="202" t="s">
        <v>348</v>
      </c>
      <c r="B20" s="203" t="s">
        <v>102</v>
      </c>
      <c r="C20" s="204">
        <v>103</v>
      </c>
      <c r="D20" s="205">
        <v>93.8</v>
      </c>
      <c r="E20" s="205">
        <v>220</v>
      </c>
      <c r="F20" s="206" t="s">
        <v>349</v>
      </c>
      <c r="G20" s="207">
        <v>4.29</v>
      </c>
      <c r="H20" s="208">
        <v>144</v>
      </c>
      <c r="I20" s="208">
        <v>144</v>
      </c>
      <c r="J20" s="208">
        <v>198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</row>
    <row r="21" spans="1:51" x14ac:dyDescent="0.35">
      <c r="A21" s="202" t="s">
        <v>50</v>
      </c>
      <c r="B21" s="203" t="s">
        <v>102</v>
      </c>
      <c r="C21" s="204">
        <v>103</v>
      </c>
      <c r="D21" s="205">
        <v>96.2</v>
      </c>
      <c r="E21" s="205">
        <v>200</v>
      </c>
      <c r="F21" s="209" t="s">
        <v>173</v>
      </c>
      <c r="G21" s="207">
        <v>3.94</v>
      </c>
      <c r="H21" s="208">
        <v>144</v>
      </c>
      <c r="I21" s="210">
        <v>144</v>
      </c>
      <c r="J21" s="208">
        <v>198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</row>
    <row r="22" spans="1:51" x14ac:dyDescent="0.35">
      <c r="A22" s="202" t="s">
        <v>128</v>
      </c>
      <c r="B22" s="203" t="s">
        <v>102</v>
      </c>
      <c r="C22" s="204">
        <v>103</v>
      </c>
      <c r="D22" s="205">
        <v>95.5</v>
      </c>
      <c r="E22" s="205">
        <v>220</v>
      </c>
      <c r="F22" s="206" t="s">
        <v>174</v>
      </c>
      <c r="G22" s="207">
        <v>4.32</v>
      </c>
      <c r="H22" s="208">
        <v>144</v>
      </c>
      <c r="I22" s="208">
        <v>144</v>
      </c>
      <c r="J22" s="208">
        <v>198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</row>
    <row r="23" spans="1:51" x14ac:dyDescent="0.35">
      <c r="A23" s="202" t="s">
        <v>175</v>
      </c>
      <c r="B23" s="203" t="s">
        <v>102</v>
      </c>
      <c r="C23" s="204">
        <v>103</v>
      </c>
      <c r="D23" s="205">
        <v>94.5</v>
      </c>
      <c r="E23" s="205">
        <v>250</v>
      </c>
      <c r="F23" s="209" t="s">
        <v>176</v>
      </c>
      <c r="G23" s="207">
        <v>4.8899999999999997</v>
      </c>
      <c r="H23" s="208">
        <v>126</v>
      </c>
      <c r="I23" s="208">
        <v>126</v>
      </c>
      <c r="J23" s="208">
        <v>198</v>
      </c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</row>
    <row r="24" spans="1:51" x14ac:dyDescent="0.35">
      <c r="A24" s="202" t="s">
        <v>113</v>
      </c>
      <c r="B24" s="203" t="s">
        <v>102</v>
      </c>
      <c r="C24" s="204">
        <v>103</v>
      </c>
      <c r="D24" s="205">
        <v>98.3</v>
      </c>
      <c r="E24" s="205">
        <v>160</v>
      </c>
      <c r="F24" s="206" t="s">
        <v>177</v>
      </c>
      <c r="G24" s="207">
        <v>3.19</v>
      </c>
      <c r="H24" s="208">
        <v>180</v>
      </c>
      <c r="I24" s="210">
        <v>180</v>
      </c>
      <c r="J24" s="208">
        <v>198</v>
      </c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</row>
    <row r="25" spans="1:51" x14ac:dyDescent="0.35">
      <c r="A25" s="202" t="s">
        <v>118</v>
      </c>
      <c r="B25" s="203" t="s">
        <v>102</v>
      </c>
      <c r="C25" s="204">
        <v>103</v>
      </c>
      <c r="D25" s="205">
        <v>97.7</v>
      </c>
      <c r="E25" s="205">
        <v>180</v>
      </c>
      <c r="F25" s="209" t="s">
        <v>178</v>
      </c>
      <c r="G25" s="207">
        <v>3.58</v>
      </c>
      <c r="H25" s="208">
        <v>180</v>
      </c>
      <c r="I25" s="210">
        <v>180</v>
      </c>
      <c r="J25" s="208">
        <v>198</v>
      </c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</row>
    <row r="26" spans="1:51" x14ac:dyDescent="0.35">
      <c r="A26" s="202" t="s">
        <v>121</v>
      </c>
      <c r="B26" s="203" t="s">
        <v>102</v>
      </c>
      <c r="C26" s="204">
        <v>103</v>
      </c>
      <c r="D26" s="205">
        <v>97.8</v>
      </c>
      <c r="E26" s="205">
        <v>200</v>
      </c>
      <c r="F26" s="209" t="s">
        <v>179</v>
      </c>
      <c r="G26" s="207">
        <v>3.98</v>
      </c>
      <c r="H26" s="208">
        <v>144</v>
      </c>
      <c r="I26" s="208">
        <v>144</v>
      </c>
      <c r="J26" s="208">
        <v>198</v>
      </c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</row>
    <row r="27" spans="1:51" x14ac:dyDescent="0.35">
      <c r="A27" s="202" t="s">
        <v>125</v>
      </c>
      <c r="B27" s="203" t="s">
        <v>102</v>
      </c>
      <c r="C27" s="204">
        <v>103</v>
      </c>
      <c r="D27" s="205">
        <v>97.3</v>
      </c>
      <c r="E27" s="205">
        <v>220</v>
      </c>
      <c r="F27" s="209" t="s">
        <v>180</v>
      </c>
      <c r="G27" s="207">
        <v>4.3600000000000003</v>
      </c>
      <c r="H27" s="208">
        <v>144</v>
      </c>
      <c r="I27" s="210">
        <v>144</v>
      </c>
      <c r="J27" s="208">
        <v>198</v>
      </c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</row>
    <row r="28" spans="1:51" x14ac:dyDescent="0.35">
      <c r="A28" s="202" t="s">
        <v>335</v>
      </c>
      <c r="B28" s="203" t="s">
        <v>102</v>
      </c>
      <c r="C28" s="204">
        <v>103</v>
      </c>
      <c r="D28" s="205">
        <v>97.3</v>
      </c>
      <c r="E28" s="205">
        <v>220</v>
      </c>
      <c r="F28" s="209" t="s">
        <v>336</v>
      </c>
      <c r="G28" s="211">
        <v>6.7130000000000001</v>
      </c>
      <c r="H28" s="208">
        <v>144</v>
      </c>
      <c r="I28" s="208" t="s">
        <v>116</v>
      </c>
      <c r="J28" s="208">
        <v>304.8</v>
      </c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</row>
    <row r="29" spans="1:51" x14ac:dyDescent="0.35">
      <c r="A29" s="202" t="s">
        <v>181</v>
      </c>
      <c r="B29" s="203" t="s">
        <v>102</v>
      </c>
      <c r="C29" s="204">
        <v>103</v>
      </c>
      <c r="D29" s="205">
        <v>96.5</v>
      </c>
      <c r="E29" s="205">
        <v>250</v>
      </c>
      <c r="F29" s="209" t="s">
        <v>182</v>
      </c>
      <c r="G29" s="207">
        <v>4.9400000000000004</v>
      </c>
      <c r="H29" s="208">
        <v>126</v>
      </c>
      <c r="I29" s="208">
        <v>126</v>
      </c>
      <c r="J29" s="208">
        <v>198</v>
      </c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</row>
    <row r="30" spans="1:51" x14ac:dyDescent="0.35">
      <c r="A30" s="202" t="s">
        <v>183</v>
      </c>
      <c r="B30" s="203" t="s">
        <v>102</v>
      </c>
      <c r="C30" s="204">
        <v>103</v>
      </c>
      <c r="D30" s="205">
        <v>96.5</v>
      </c>
      <c r="E30" s="205">
        <v>250</v>
      </c>
      <c r="F30" s="209" t="s">
        <v>184</v>
      </c>
      <c r="G30" s="207">
        <v>7.6</v>
      </c>
      <c r="H30" s="208" t="s">
        <v>166</v>
      </c>
      <c r="I30" s="208" t="s">
        <v>166</v>
      </c>
      <c r="J30" s="208">
        <v>304.8</v>
      </c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</row>
    <row r="31" spans="1:51" x14ac:dyDescent="0.35">
      <c r="A31" s="212" t="s">
        <v>340</v>
      </c>
      <c r="B31" s="203" t="s">
        <v>185</v>
      </c>
      <c r="C31" s="204">
        <v>83</v>
      </c>
      <c r="D31" s="205">
        <v>60</v>
      </c>
      <c r="E31" s="205">
        <v>200</v>
      </c>
      <c r="F31" s="209" t="s">
        <v>186</v>
      </c>
      <c r="G31" s="207">
        <v>2.83</v>
      </c>
      <c r="H31" s="208">
        <v>160</v>
      </c>
      <c r="I31" s="208">
        <v>160</v>
      </c>
      <c r="J31" s="208">
        <v>199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</row>
    <row r="32" spans="1:51" x14ac:dyDescent="0.35">
      <c r="A32" s="212" t="s">
        <v>341</v>
      </c>
      <c r="B32" s="203" t="s">
        <v>185</v>
      </c>
      <c r="C32" s="204">
        <v>83</v>
      </c>
      <c r="D32" s="205">
        <v>60</v>
      </c>
      <c r="E32" s="205">
        <v>220</v>
      </c>
      <c r="F32" s="209" t="s">
        <v>187</v>
      </c>
      <c r="G32" s="207">
        <v>3.11</v>
      </c>
      <c r="H32" s="208">
        <v>144</v>
      </c>
      <c r="I32" s="208">
        <v>144</v>
      </c>
      <c r="J32" s="208">
        <v>199</v>
      </c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</row>
    <row r="33" spans="1:51" x14ac:dyDescent="0.35">
      <c r="A33" s="212" t="s">
        <v>114</v>
      </c>
      <c r="B33" s="203" t="s">
        <v>185</v>
      </c>
      <c r="C33" s="205">
        <v>78</v>
      </c>
      <c r="D33" s="205">
        <v>65</v>
      </c>
      <c r="E33" s="205">
        <v>160</v>
      </c>
      <c r="F33" s="209" t="s">
        <v>188</v>
      </c>
      <c r="G33" s="207">
        <v>2.27</v>
      </c>
      <c r="H33" s="210">
        <v>180</v>
      </c>
      <c r="I33" s="208">
        <v>180</v>
      </c>
      <c r="J33" s="208">
        <v>199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</row>
    <row r="34" spans="1:51" x14ac:dyDescent="0.35">
      <c r="A34" s="212" t="s">
        <v>119</v>
      </c>
      <c r="B34" s="203" t="s">
        <v>185</v>
      </c>
      <c r="C34" s="205">
        <v>78</v>
      </c>
      <c r="D34" s="205">
        <v>65</v>
      </c>
      <c r="E34" s="205">
        <v>180</v>
      </c>
      <c r="F34" s="209" t="s">
        <v>189</v>
      </c>
      <c r="G34" s="207">
        <v>2.5499999999999998</v>
      </c>
      <c r="H34" s="210">
        <v>180</v>
      </c>
      <c r="I34" s="208">
        <v>180</v>
      </c>
      <c r="J34" s="208">
        <v>199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</row>
    <row r="35" spans="1:51" x14ac:dyDescent="0.35">
      <c r="A35" s="212" t="s">
        <v>122</v>
      </c>
      <c r="B35" s="203" t="s">
        <v>185</v>
      </c>
      <c r="C35" s="205">
        <v>78</v>
      </c>
      <c r="D35" s="205">
        <v>65</v>
      </c>
      <c r="E35" s="205">
        <v>200</v>
      </c>
      <c r="F35" s="209" t="s">
        <v>190</v>
      </c>
      <c r="G35" s="207">
        <v>2.83</v>
      </c>
      <c r="H35" s="210">
        <v>160</v>
      </c>
      <c r="I35" s="208">
        <v>160</v>
      </c>
      <c r="J35" s="208">
        <v>199</v>
      </c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</row>
    <row r="36" spans="1:51" x14ac:dyDescent="0.35">
      <c r="A36" s="212" t="s">
        <v>350</v>
      </c>
      <c r="B36" s="203" t="s">
        <v>185</v>
      </c>
      <c r="C36" s="205">
        <v>95.9</v>
      </c>
      <c r="D36" s="205">
        <v>88.4</v>
      </c>
      <c r="E36" s="205">
        <v>220</v>
      </c>
      <c r="F36" s="209" t="s">
        <v>351</v>
      </c>
      <c r="G36" s="207">
        <v>4.0119999999999996</v>
      </c>
      <c r="H36" s="210"/>
      <c r="I36" s="208"/>
      <c r="J36" s="208">
        <v>199</v>
      </c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</row>
    <row r="37" spans="1:51" x14ac:dyDescent="0.35">
      <c r="A37" s="212" t="s">
        <v>129</v>
      </c>
      <c r="B37" s="203" t="s">
        <v>185</v>
      </c>
      <c r="C37" s="205">
        <v>78</v>
      </c>
      <c r="D37" s="205">
        <v>65</v>
      </c>
      <c r="E37" s="205">
        <v>220</v>
      </c>
      <c r="F37" s="209" t="s">
        <v>191</v>
      </c>
      <c r="G37" s="207">
        <v>3.11</v>
      </c>
      <c r="H37" s="210">
        <v>144</v>
      </c>
      <c r="I37" s="208">
        <v>144</v>
      </c>
      <c r="J37" s="208">
        <v>199</v>
      </c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</row>
    <row r="38" spans="1:51" x14ac:dyDescent="0.35">
      <c r="A38" s="202" t="s">
        <v>192</v>
      </c>
      <c r="B38" s="203" t="s">
        <v>185</v>
      </c>
      <c r="C38" s="205">
        <v>78</v>
      </c>
      <c r="D38" s="205">
        <v>65</v>
      </c>
      <c r="E38" s="205">
        <v>220</v>
      </c>
      <c r="F38" s="209" t="s">
        <v>193</v>
      </c>
      <c r="G38" s="207">
        <v>4.76</v>
      </c>
      <c r="H38" s="210">
        <v>96</v>
      </c>
      <c r="I38" s="208">
        <v>96</v>
      </c>
      <c r="J38" s="208">
        <v>302.8</v>
      </c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</row>
    <row r="39" spans="1:51" x14ac:dyDescent="0.35">
      <c r="A39" s="212" t="s">
        <v>194</v>
      </c>
      <c r="B39" s="203" t="s">
        <v>185</v>
      </c>
      <c r="C39" s="205">
        <v>76.400000000000006</v>
      </c>
      <c r="D39" s="205">
        <v>66.599999999999994</v>
      </c>
      <c r="E39" s="205">
        <v>220</v>
      </c>
      <c r="F39" s="209" t="s">
        <v>195</v>
      </c>
      <c r="G39" s="207">
        <v>3.09</v>
      </c>
      <c r="H39" s="210">
        <v>144</v>
      </c>
      <c r="I39" s="208">
        <v>144</v>
      </c>
      <c r="J39" s="208">
        <v>199</v>
      </c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</row>
    <row r="40" spans="1:51" x14ac:dyDescent="0.35">
      <c r="A40" s="212" t="s">
        <v>344</v>
      </c>
      <c r="B40" s="203" t="s">
        <v>185</v>
      </c>
      <c r="C40" s="205">
        <v>76.5</v>
      </c>
      <c r="D40" s="205">
        <v>66.5</v>
      </c>
      <c r="E40" s="205">
        <v>180</v>
      </c>
      <c r="F40" s="209" t="s">
        <v>186</v>
      </c>
      <c r="G40" s="207">
        <v>2.5499999999999998</v>
      </c>
      <c r="H40" s="210">
        <v>180</v>
      </c>
      <c r="I40" s="208">
        <v>180</v>
      </c>
      <c r="J40" s="208">
        <v>199</v>
      </c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</row>
    <row r="41" spans="1:51" x14ac:dyDescent="0.35">
      <c r="A41" s="212" t="s">
        <v>338</v>
      </c>
      <c r="B41" s="203" t="s">
        <v>185</v>
      </c>
      <c r="C41" s="205">
        <v>76.5</v>
      </c>
      <c r="D41" s="205">
        <v>66.5</v>
      </c>
      <c r="E41" s="205">
        <v>200</v>
      </c>
      <c r="F41" s="209" t="s">
        <v>339</v>
      </c>
      <c r="G41" s="207">
        <v>2.83</v>
      </c>
      <c r="H41" s="210">
        <v>160</v>
      </c>
      <c r="I41" s="208">
        <v>160</v>
      </c>
      <c r="J41" s="208">
        <v>199</v>
      </c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</row>
    <row r="42" spans="1:51" x14ac:dyDescent="0.35">
      <c r="A42" s="212" t="s">
        <v>126</v>
      </c>
      <c r="B42" s="203" t="s">
        <v>185</v>
      </c>
      <c r="C42" s="205">
        <v>76.5</v>
      </c>
      <c r="D42" s="205">
        <v>66.5</v>
      </c>
      <c r="E42" s="205">
        <v>220</v>
      </c>
      <c r="F42" s="209" t="s">
        <v>196</v>
      </c>
      <c r="G42" s="207">
        <v>3.11</v>
      </c>
      <c r="H42" s="210">
        <v>144</v>
      </c>
      <c r="I42" s="208">
        <v>144</v>
      </c>
      <c r="J42" s="208">
        <v>199</v>
      </c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</row>
    <row r="43" spans="1:51" x14ac:dyDescent="0.35">
      <c r="A43" s="212" t="s">
        <v>197</v>
      </c>
      <c r="B43" s="203" t="s">
        <v>185</v>
      </c>
      <c r="C43" s="205">
        <v>78</v>
      </c>
      <c r="D43" s="205">
        <v>65</v>
      </c>
      <c r="E43" s="205">
        <v>250</v>
      </c>
      <c r="F43" s="209" t="s">
        <v>198</v>
      </c>
      <c r="G43" s="207">
        <v>3.54</v>
      </c>
      <c r="H43" s="208">
        <v>126</v>
      </c>
      <c r="I43" s="208">
        <v>126</v>
      </c>
      <c r="J43" s="208">
        <v>199</v>
      </c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</row>
    <row r="44" spans="1:51" x14ac:dyDescent="0.35">
      <c r="A44" s="212" t="s">
        <v>199</v>
      </c>
      <c r="B44" s="203" t="s">
        <v>185</v>
      </c>
      <c r="C44" s="205">
        <v>75</v>
      </c>
      <c r="D44" s="205">
        <v>68</v>
      </c>
      <c r="E44" s="205">
        <v>160</v>
      </c>
      <c r="F44" s="209" t="s">
        <v>200</v>
      </c>
      <c r="G44" s="207">
        <v>2.27</v>
      </c>
      <c r="H44" s="208" t="s">
        <v>116</v>
      </c>
      <c r="I44" s="208" t="s">
        <v>116</v>
      </c>
      <c r="J44" s="208">
        <v>199</v>
      </c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</row>
    <row r="45" spans="1:51" x14ac:dyDescent="0.35">
      <c r="A45" s="212" t="s">
        <v>201</v>
      </c>
      <c r="B45" s="203" t="s">
        <v>185</v>
      </c>
      <c r="C45" s="205">
        <v>75</v>
      </c>
      <c r="D45" s="205">
        <v>68</v>
      </c>
      <c r="E45" s="205">
        <v>180</v>
      </c>
      <c r="F45" s="209" t="s">
        <v>202</v>
      </c>
      <c r="G45" s="207">
        <v>2.5499999999999998</v>
      </c>
      <c r="H45" s="208" t="s">
        <v>116</v>
      </c>
      <c r="I45" s="208" t="s">
        <v>116</v>
      </c>
      <c r="J45" s="208">
        <v>199</v>
      </c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</row>
    <row r="46" spans="1:51" x14ac:dyDescent="0.35">
      <c r="A46" s="212" t="s">
        <v>203</v>
      </c>
      <c r="B46" s="203" t="s">
        <v>185</v>
      </c>
      <c r="C46" s="205">
        <v>75</v>
      </c>
      <c r="D46" s="205">
        <v>68</v>
      </c>
      <c r="E46" s="205">
        <v>200</v>
      </c>
      <c r="F46" s="209" t="s">
        <v>204</v>
      </c>
      <c r="G46" s="207">
        <v>2.83</v>
      </c>
      <c r="H46" s="208" t="s">
        <v>116</v>
      </c>
      <c r="I46" s="208" t="s">
        <v>116</v>
      </c>
      <c r="J46" s="208">
        <v>199</v>
      </c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</row>
    <row r="47" spans="1:51" x14ac:dyDescent="0.35">
      <c r="A47" s="212" t="s">
        <v>205</v>
      </c>
      <c r="B47" s="203" t="s">
        <v>185</v>
      </c>
      <c r="C47" s="205">
        <v>75</v>
      </c>
      <c r="D47" s="205">
        <v>68</v>
      </c>
      <c r="E47" s="205">
        <v>220</v>
      </c>
      <c r="F47" s="209" t="s">
        <v>206</v>
      </c>
      <c r="G47" s="207">
        <v>3.11</v>
      </c>
      <c r="H47" s="208" t="s">
        <v>116</v>
      </c>
      <c r="I47" s="208" t="s">
        <v>116</v>
      </c>
      <c r="J47" s="208">
        <v>199</v>
      </c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</row>
    <row r="48" spans="1:51" x14ac:dyDescent="0.35">
      <c r="A48" s="212" t="s">
        <v>207</v>
      </c>
      <c r="B48" s="203" t="s">
        <v>185</v>
      </c>
      <c r="C48" s="205">
        <v>76.5</v>
      </c>
      <c r="D48" s="205">
        <v>66.5</v>
      </c>
      <c r="E48" s="205">
        <v>250</v>
      </c>
      <c r="F48" s="209" t="s">
        <v>352</v>
      </c>
      <c r="G48" s="207">
        <v>3.54</v>
      </c>
      <c r="H48" s="208">
        <v>126</v>
      </c>
      <c r="I48" s="208">
        <v>126</v>
      </c>
      <c r="J48" s="208">
        <v>199</v>
      </c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</row>
    <row r="49" spans="1:51" s="58" customFormat="1" x14ac:dyDescent="0.35">
      <c r="A49" s="212" t="s">
        <v>208</v>
      </c>
      <c r="B49" s="203" t="s">
        <v>185</v>
      </c>
      <c r="C49" s="205">
        <v>76</v>
      </c>
      <c r="D49" s="205">
        <v>67</v>
      </c>
      <c r="E49" s="205">
        <v>250</v>
      </c>
      <c r="F49" s="209" t="s">
        <v>209</v>
      </c>
      <c r="G49" s="207">
        <v>3.54</v>
      </c>
      <c r="H49" s="208">
        <v>126</v>
      </c>
      <c r="I49" s="208">
        <v>126</v>
      </c>
      <c r="J49" s="208">
        <v>199</v>
      </c>
    </row>
    <row r="50" spans="1:51" x14ac:dyDescent="0.35">
      <c r="A50" s="212" t="s">
        <v>210</v>
      </c>
      <c r="B50" s="203" t="s">
        <v>185</v>
      </c>
      <c r="C50" s="205">
        <v>75</v>
      </c>
      <c r="D50" s="205">
        <v>68</v>
      </c>
      <c r="E50" s="205">
        <v>250</v>
      </c>
      <c r="F50" s="209" t="s">
        <v>211</v>
      </c>
      <c r="G50" s="207">
        <v>3.54</v>
      </c>
      <c r="H50" s="208">
        <v>126</v>
      </c>
      <c r="I50" s="208">
        <v>126</v>
      </c>
      <c r="J50" s="208">
        <v>199</v>
      </c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</row>
    <row r="51" spans="1:51" x14ac:dyDescent="0.35">
      <c r="A51" s="212" t="s">
        <v>120</v>
      </c>
      <c r="B51" s="203" t="s">
        <v>185</v>
      </c>
      <c r="C51" s="205">
        <v>74</v>
      </c>
      <c r="D51" s="205">
        <v>69</v>
      </c>
      <c r="E51" s="205">
        <v>180</v>
      </c>
      <c r="F51" s="209" t="s">
        <v>212</v>
      </c>
      <c r="G51" s="207">
        <v>2.5499999999999998</v>
      </c>
      <c r="H51" s="210">
        <v>180</v>
      </c>
      <c r="I51" s="208">
        <v>180</v>
      </c>
      <c r="J51" s="208">
        <v>199</v>
      </c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</row>
    <row r="52" spans="1:51" x14ac:dyDescent="0.35">
      <c r="A52" s="212" t="s">
        <v>123</v>
      </c>
      <c r="B52" s="203" t="s">
        <v>185</v>
      </c>
      <c r="C52" s="205">
        <v>74</v>
      </c>
      <c r="D52" s="205">
        <v>69</v>
      </c>
      <c r="E52" s="205">
        <v>200</v>
      </c>
      <c r="F52" s="209" t="s">
        <v>213</v>
      </c>
      <c r="G52" s="207">
        <v>2.83</v>
      </c>
      <c r="H52" s="210">
        <v>160</v>
      </c>
      <c r="I52" s="208">
        <v>160</v>
      </c>
      <c r="J52" s="208">
        <v>199</v>
      </c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</row>
    <row r="53" spans="1:51" x14ac:dyDescent="0.35">
      <c r="A53" s="212" t="s">
        <v>127</v>
      </c>
      <c r="B53" s="203" t="s">
        <v>185</v>
      </c>
      <c r="C53" s="205">
        <v>74</v>
      </c>
      <c r="D53" s="205">
        <v>69</v>
      </c>
      <c r="E53" s="205">
        <v>220</v>
      </c>
      <c r="F53" s="209" t="s">
        <v>214</v>
      </c>
      <c r="G53" s="207">
        <v>3.11</v>
      </c>
      <c r="H53" s="210">
        <v>144</v>
      </c>
      <c r="I53" s="208">
        <v>144</v>
      </c>
      <c r="J53" s="208">
        <v>199</v>
      </c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</row>
    <row r="54" spans="1:51" x14ac:dyDescent="0.35">
      <c r="A54" s="212" t="s">
        <v>215</v>
      </c>
      <c r="B54" s="203" t="s">
        <v>185</v>
      </c>
      <c r="C54" s="205">
        <v>74</v>
      </c>
      <c r="D54" s="205">
        <v>69</v>
      </c>
      <c r="E54" s="205">
        <v>220</v>
      </c>
      <c r="F54" s="209" t="s">
        <v>216</v>
      </c>
      <c r="G54" s="207">
        <v>4.76</v>
      </c>
      <c r="H54" s="210">
        <v>96</v>
      </c>
      <c r="I54" s="208">
        <v>96</v>
      </c>
      <c r="J54" s="208">
        <v>302.8</v>
      </c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</row>
    <row r="55" spans="1:51" x14ac:dyDescent="0.35">
      <c r="A55" s="212" t="s">
        <v>115</v>
      </c>
      <c r="B55" s="203" t="s">
        <v>185</v>
      </c>
      <c r="C55" s="205">
        <v>73</v>
      </c>
      <c r="D55" s="205">
        <v>70</v>
      </c>
      <c r="E55" s="205">
        <v>160</v>
      </c>
      <c r="F55" s="209" t="s">
        <v>217</v>
      </c>
      <c r="G55" s="207">
        <v>2.27</v>
      </c>
      <c r="H55" s="210">
        <v>180</v>
      </c>
      <c r="I55" s="208">
        <v>180</v>
      </c>
      <c r="J55" s="208">
        <v>199</v>
      </c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51" x14ac:dyDescent="0.35">
      <c r="A56" s="212" t="s">
        <v>218</v>
      </c>
      <c r="B56" s="203" t="s">
        <v>185</v>
      </c>
      <c r="C56" s="205">
        <v>74</v>
      </c>
      <c r="D56" s="205">
        <v>69</v>
      </c>
      <c r="E56" s="205">
        <v>250</v>
      </c>
      <c r="F56" s="209" t="s">
        <v>219</v>
      </c>
      <c r="G56" s="207">
        <v>3.54</v>
      </c>
      <c r="H56" s="208">
        <v>126</v>
      </c>
      <c r="I56" s="208">
        <v>126</v>
      </c>
      <c r="J56" s="208">
        <v>199</v>
      </c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</row>
    <row r="57" spans="1:51" x14ac:dyDescent="0.35">
      <c r="A57" s="212" t="s">
        <v>343</v>
      </c>
      <c r="B57" s="203" t="s">
        <v>185</v>
      </c>
      <c r="C57" s="205">
        <v>73.5</v>
      </c>
      <c r="D57" s="205">
        <v>69.5</v>
      </c>
      <c r="E57" s="205">
        <v>180</v>
      </c>
      <c r="F57" s="209" t="s">
        <v>186</v>
      </c>
      <c r="G57" s="207">
        <v>2.5499999999999998</v>
      </c>
      <c r="H57" s="208">
        <v>180</v>
      </c>
      <c r="I57" s="208">
        <v>180</v>
      </c>
      <c r="J57" s="208">
        <v>199</v>
      </c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</row>
    <row r="58" spans="1:51" x14ac:dyDescent="0.35">
      <c r="A58" s="212" t="s">
        <v>342</v>
      </c>
      <c r="B58" s="203" t="s">
        <v>185</v>
      </c>
      <c r="C58" s="205">
        <v>73.5</v>
      </c>
      <c r="D58" s="205">
        <v>69.5</v>
      </c>
      <c r="E58" s="205">
        <v>200</v>
      </c>
      <c r="F58" s="209" t="s">
        <v>186</v>
      </c>
      <c r="G58" s="207">
        <v>2.83</v>
      </c>
      <c r="H58" s="208">
        <v>160</v>
      </c>
      <c r="I58" s="208">
        <v>160</v>
      </c>
      <c r="J58" s="208">
        <v>199</v>
      </c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</row>
    <row r="59" spans="1:51" x14ac:dyDescent="0.35">
      <c r="A59" s="212" t="s">
        <v>220</v>
      </c>
      <c r="B59" s="203" t="s">
        <v>185</v>
      </c>
      <c r="C59" s="205">
        <v>73.5</v>
      </c>
      <c r="D59" s="205">
        <v>69.5</v>
      </c>
      <c r="E59" s="205">
        <v>220</v>
      </c>
      <c r="F59" s="209" t="s">
        <v>221</v>
      </c>
      <c r="G59" s="211">
        <v>3.1139999999999999</v>
      </c>
      <c r="H59" s="208">
        <v>144</v>
      </c>
      <c r="I59" s="208">
        <v>144</v>
      </c>
      <c r="J59" s="208">
        <v>199</v>
      </c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</row>
    <row r="60" spans="1:51" x14ac:dyDescent="0.35">
      <c r="A60" s="212"/>
      <c r="B60" s="203"/>
      <c r="C60" s="205"/>
      <c r="D60" s="205"/>
      <c r="E60" s="205"/>
      <c r="F60" s="209"/>
      <c r="G60" s="207"/>
      <c r="H60" s="208"/>
      <c r="I60" s="208"/>
      <c r="J60" s="20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</row>
    <row r="61" spans="1:51" x14ac:dyDescent="0.35">
      <c r="A61" s="212"/>
      <c r="B61" s="203"/>
      <c r="C61" s="204"/>
      <c r="D61" s="205"/>
      <c r="E61" s="205"/>
      <c r="F61" s="209"/>
      <c r="G61" s="207"/>
      <c r="H61" s="208"/>
      <c r="I61" s="210"/>
      <c r="J61" s="20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</row>
    <row r="62" spans="1:51" x14ac:dyDescent="0.35">
      <c r="A62" s="213"/>
      <c r="B62" s="214"/>
      <c r="C62" s="215"/>
      <c r="D62" s="215"/>
      <c r="E62" s="215"/>
      <c r="F62" s="214"/>
      <c r="G62" s="216"/>
      <c r="H62" s="214"/>
      <c r="I62" s="214"/>
      <c r="J62" s="217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</row>
    <row r="63" spans="1:51" x14ac:dyDescent="0.35">
      <c r="A63" s="213"/>
      <c r="B63" s="214"/>
      <c r="C63" s="215"/>
      <c r="D63" s="215"/>
      <c r="E63" s="215"/>
      <c r="F63" s="214"/>
      <c r="G63" s="216"/>
      <c r="H63" s="214"/>
      <c r="I63" s="214"/>
      <c r="J63" s="217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</row>
    <row r="64" spans="1:51" ht="16.5" x14ac:dyDescent="0.35">
      <c r="A64" s="213"/>
      <c r="B64" s="214"/>
      <c r="C64" s="218" t="s">
        <v>222</v>
      </c>
      <c r="D64" s="215"/>
      <c r="E64" s="215"/>
      <c r="F64" s="214"/>
      <c r="G64" s="216"/>
      <c r="H64" s="214"/>
      <c r="I64" s="214"/>
      <c r="J64" s="217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</row>
    <row r="65" spans="1:51" ht="16.5" x14ac:dyDescent="0.35">
      <c r="A65" s="213"/>
      <c r="B65" s="214"/>
      <c r="C65" s="218" t="s">
        <v>223</v>
      </c>
      <c r="D65" s="215"/>
      <c r="E65" s="215"/>
      <c r="F65" s="214"/>
      <c r="G65" s="216"/>
      <c r="H65" s="214"/>
      <c r="I65" s="214"/>
      <c r="J65" s="217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</row>
    <row r="66" spans="1:51" x14ac:dyDescent="0.35">
      <c r="A66" s="213"/>
      <c r="B66" s="214"/>
      <c r="C66" s="215"/>
      <c r="D66" s="215"/>
      <c r="E66" s="215"/>
      <c r="F66" s="214"/>
      <c r="G66" s="216"/>
      <c r="H66" s="214"/>
      <c r="I66" s="214"/>
      <c r="J66" s="217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</row>
    <row r="67" spans="1:51" x14ac:dyDescent="0.35">
      <c r="A67" s="213"/>
      <c r="B67" s="214"/>
      <c r="C67" s="215"/>
      <c r="D67" s="215"/>
      <c r="E67" s="215"/>
      <c r="F67" s="214"/>
      <c r="G67" s="216"/>
      <c r="H67" s="214"/>
      <c r="I67" s="214"/>
      <c r="J67" s="217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</row>
    <row r="68" spans="1:51" ht="16" thickBot="1" x14ac:dyDescent="0.4">
      <c r="A68" s="219"/>
      <c r="B68" s="220"/>
      <c r="C68" s="221"/>
      <c r="D68" s="221"/>
      <c r="E68" s="221"/>
      <c r="F68" s="220"/>
      <c r="G68" s="222"/>
      <c r="H68" s="220"/>
      <c r="I68" s="220"/>
      <c r="J68" s="223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</row>
    <row r="69" spans="1:51" x14ac:dyDescent="0.35">
      <c r="A69" s="224"/>
      <c r="B69" s="224"/>
      <c r="C69" s="225"/>
      <c r="D69" s="225"/>
      <c r="E69" s="225"/>
      <c r="F69" s="224"/>
      <c r="G69" s="226"/>
      <c r="H69" s="224"/>
      <c r="I69" s="224"/>
      <c r="J69" s="224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</row>
    <row r="70" spans="1:51" ht="16.5" x14ac:dyDescent="0.35">
      <c r="A70" s="227"/>
      <c r="B70" s="228"/>
      <c r="C70" s="229"/>
      <c r="D70" s="229"/>
      <c r="E70" s="229"/>
      <c r="F70" s="228"/>
      <c r="G70" s="230"/>
      <c r="H70" s="228"/>
      <c r="I70" s="228"/>
      <c r="J70" s="224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</row>
    <row r="71" spans="1:51" ht="20.5" x14ac:dyDescent="0.45">
      <c r="A71" s="231" t="s">
        <v>224</v>
      </c>
      <c r="B71" s="228"/>
      <c r="C71" s="229"/>
      <c r="D71" s="229"/>
      <c r="E71" s="229"/>
      <c r="F71" s="228"/>
      <c r="G71" s="230"/>
      <c r="H71" s="228"/>
      <c r="I71" s="228"/>
      <c r="J71" s="224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</row>
    <row r="72" spans="1:51" ht="20.5" x14ac:dyDescent="0.45">
      <c r="A72" s="231"/>
      <c r="B72" s="228"/>
      <c r="C72" s="229"/>
      <c r="D72" s="229"/>
      <c r="E72" s="229"/>
      <c r="F72" s="228"/>
      <c r="G72" s="230"/>
      <c r="H72" s="228"/>
      <c r="I72" s="228"/>
      <c r="J72" s="224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</row>
    <row r="73" spans="1:51" ht="20.5" x14ac:dyDescent="0.45">
      <c r="A73" s="231" t="s">
        <v>225</v>
      </c>
      <c r="B73" s="228"/>
      <c r="C73" s="229"/>
      <c r="D73" s="229"/>
      <c r="E73" s="229"/>
      <c r="F73" s="228"/>
      <c r="G73" s="230"/>
      <c r="H73" s="228"/>
      <c r="I73" s="228"/>
      <c r="J73" s="224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</row>
    <row r="74" spans="1:51" ht="20.5" x14ac:dyDescent="0.45">
      <c r="A74" s="231"/>
      <c r="B74" s="228"/>
      <c r="C74" s="229"/>
      <c r="D74" s="229"/>
      <c r="E74" s="229"/>
      <c r="F74" s="228"/>
      <c r="G74" s="230"/>
      <c r="H74" s="228"/>
      <c r="I74" s="228"/>
      <c r="J74" s="224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</row>
    <row r="75" spans="1:51" ht="20.5" x14ac:dyDescent="0.45">
      <c r="A75" s="231" t="s">
        <v>226</v>
      </c>
      <c r="B75" s="228"/>
      <c r="C75" s="229"/>
      <c r="D75" s="229"/>
      <c r="E75" s="229"/>
      <c r="F75" s="228"/>
      <c r="G75" s="230"/>
      <c r="H75" s="228"/>
      <c r="I75" s="228"/>
      <c r="J75" s="224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</row>
    <row r="76" spans="1:51" x14ac:dyDescent="0.35">
      <c r="A76" s="192"/>
      <c r="B76" s="192"/>
      <c r="C76" s="193"/>
      <c r="D76" s="193"/>
      <c r="E76" s="193"/>
      <c r="F76" s="192"/>
      <c r="G76" s="194"/>
      <c r="H76" s="192"/>
      <c r="I76" s="192"/>
      <c r="J76" s="195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</row>
    <row r="77" spans="1:51" x14ac:dyDescent="0.35">
      <c r="A77" s="192"/>
      <c r="B77" s="192"/>
      <c r="C77" s="193"/>
      <c r="D77" s="193"/>
      <c r="E77" s="193"/>
      <c r="F77" s="192"/>
      <c r="G77" s="194"/>
      <c r="H77" s="192"/>
      <c r="I77" s="192"/>
      <c r="J77" s="195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</row>
    <row r="78" spans="1:51" x14ac:dyDescent="0.35">
      <c r="A78" s="192"/>
      <c r="B78" s="192"/>
      <c r="C78" s="193"/>
      <c r="D78" s="193"/>
      <c r="E78" s="193"/>
      <c r="F78" s="192"/>
      <c r="G78" s="194"/>
      <c r="H78" s="192"/>
      <c r="I78" s="192"/>
      <c r="J78" s="195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</row>
    <row r="79" spans="1:51" x14ac:dyDescent="0.35">
      <c r="A79" s="192"/>
      <c r="B79" s="192"/>
      <c r="C79" s="193"/>
      <c r="D79" s="193"/>
      <c r="E79" s="193"/>
      <c r="F79" s="192"/>
      <c r="G79" s="194"/>
      <c r="H79" s="192"/>
      <c r="I79" s="192"/>
      <c r="J79" s="195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</row>
    <row r="80" spans="1:51" x14ac:dyDescent="0.35">
      <c r="A80" s="192"/>
      <c r="B80" s="192"/>
      <c r="C80" s="193"/>
      <c r="D80" s="193"/>
      <c r="E80" s="193"/>
      <c r="F80" s="192"/>
      <c r="G80" s="194"/>
      <c r="H80" s="192"/>
      <c r="I80" s="192"/>
      <c r="J80" s="195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</row>
    <row r="81" spans="1:51" x14ac:dyDescent="0.35">
      <c r="A81" s="192"/>
      <c r="B81" s="192"/>
      <c r="C81" s="193"/>
      <c r="D81" s="193"/>
      <c r="E81" s="193"/>
      <c r="F81" s="192"/>
      <c r="G81" s="194"/>
      <c r="H81" s="192"/>
      <c r="I81" s="192"/>
      <c r="J81" s="195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</row>
    <row r="82" spans="1:51" x14ac:dyDescent="0.35">
      <c r="A82" s="192"/>
      <c r="B82" s="192"/>
      <c r="C82" s="193"/>
      <c r="D82" s="193"/>
      <c r="E82" s="193"/>
      <c r="F82" s="192"/>
      <c r="G82" s="194"/>
      <c r="H82" s="192"/>
      <c r="I82" s="192"/>
      <c r="J82" s="195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</row>
    <row r="83" spans="1:51" x14ac:dyDescent="0.35">
      <c r="A83" s="192"/>
      <c r="B83" s="192"/>
      <c r="C83" s="193"/>
      <c r="D83" s="193"/>
      <c r="E83" s="193"/>
      <c r="F83" s="192"/>
      <c r="G83" s="194"/>
      <c r="H83" s="192"/>
      <c r="I83" s="192"/>
      <c r="J83" s="195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</row>
    <row r="84" spans="1:51" x14ac:dyDescent="0.35">
      <c r="A84" s="192"/>
      <c r="B84" s="192"/>
      <c r="C84" s="193"/>
      <c r="D84" s="193"/>
      <c r="E84" s="193"/>
      <c r="F84" s="192"/>
      <c r="G84" s="194"/>
      <c r="H84" s="192"/>
      <c r="I84" s="192"/>
      <c r="J84" s="195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</row>
    <row r="85" spans="1:51" x14ac:dyDescent="0.35">
      <c r="A85" s="192"/>
      <c r="B85" s="192"/>
      <c r="C85" s="193"/>
      <c r="D85" s="193"/>
      <c r="E85" s="193"/>
      <c r="F85" s="192"/>
      <c r="G85" s="194"/>
      <c r="H85" s="192"/>
      <c r="I85" s="192"/>
      <c r="J85" s="195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</row>
    <row r="86" spans="1:51" x14ac:dyDescent="0.35">
      <c r="A86" s="192"/>
      <c r="B86" s="192"/>
      <c r="C86" s="193"/>
      <c r="D86" s="193"/>
      <c r="E86" s="193"/>
      <c r="F86" s="192"/>
      <c r="G86" s="194"/>
      <c r="H86" s="192"/>
      <c r="I86" s="192"/>
      <c r="J86" s="195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</row>
    <row r="87" spans="1:51" x14ac:dyDescent="0.35">
      <c r="A87" s="192"/>
      <c r="B87" s="192"/>
      <c r="C87" s="193"/>
      <c r="D87" s="193"/>
      <c r="E87" s="193"/>
      <c r="F87" s="192"/>
      <c r="G87" s="194"/>
      <c r="H87" s="192"/>
      <c r="I87" s="192"/>
      <c r="J87" s="195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</row>
    <row r="88" spans="1:51" x14ac:dyDescent="0.35">
      <c r="A88" s="192"/>
      <c r="B88" s="192"/>
      <c r="C88" s="193"/>
      <c r="D88" s="193"/>
      <c r="E88" s="193"/>
      <c r="F88" s="192"/>
      <c r="G88" s="194"/>
      <c r="H88" s="192"/>
      <c r="I88" s="192"/>
      <c r="J88" s="195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</row>
    <row r="89" spans="1:51" x14ac:dyDescent="0.35">
      <c r="A89" s="192"/>
      <c r="B89" s="192"/>
      <c r="C89" s="193"/>
      <c r="D89" s="193"/>
      <c r="E89" s="193"/>
      <c r="F89" s="192"/>
      <c r="G89" s="194"/>
      <c r="H89" s="192"/>
      <c r="I89" s="192"/>
      <c r="J89" s="195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</row>
    <row r="90" spans="1:51" x14ac:dyDescent="0.35">
      <c r="A90" s="192"/>
      <c r="B90" s="192"/>
      <c r="C90" s="193"/>
      <c r="D90" s="193"/>
      <c r="E90" s="193"/>
      <c r="F90" s="192"/>
      <c r="G90" s="194"/>
      <c r="H90" s="192"/>
      <c r="I90" s="192"/>
      <c r="J90" s="195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</row>
    <row r="91" spans="1:51" x14ac:dyDescent="0.35">
      <c r="A91" s="192"/>
      <c r="B91" s="192"/>
      <c r="C91" s="193"/>
      <c r="D91" s="193"/>
      <c r="E91" s="193"/>
      <c r="F91" s="192"/>
      <c r="G91" s="194"/>
      <c r="H91" s="192"/>
      <c r="I91" s="192"/>
      <c r="J91" s="195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</row>
    <row r="92" spans="1:51" x14ac:dyDescent="0.35">
      <c r="A92" s="192"/>
      <c r="B92" s="192"/>
      <c r="C92" s="193"/>
      <c r="D92" s="193"/>
      <c r="E92" s="193"/>
      <c r="F92" s="192"/>
      <c r="G92" s="194"/>
      <c r="H92" s="192"/>
      <c r="I92" s="192"/>
      <c r="J92" s="195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</row>
    <row r="93" spans="1:51" x14ac:dyDescent="0.35">
      <c r="A93" s="192"/>
      <c r="B93" s="192"/>
      <c r="C93" s="193"/>
      <c r="D93" s="193"/>
      <c r="E93" s="193"/>
      <c r="F93" s="192"/>
      <c r="G93" s="194"/>
      <c r="H93" s="192"/>
      <c r="I93" s="192"/>
      <c r="J93" s="195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</row>
    <row r="94" spans="1:51" x14ac:dyDescent="0.35">
      <c r="A94" s="192"/>
      <c r="B94" s="192"/>
      <c r="C94" s="193"/>
      <c r="D94" s="193"/>
      <c r="E94" s="193"/>
      <c r="F94" s="192"/>
      <c r="G94" s="194"/>
      <c r="H94" s="192"/>
      <c r="I94" s="192"/>
      <c r="J94" s="62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</row>
    <row r="95" spans="1:51" x14ac:dyDescent="0.35">
      <c r="A95" s="192"/>
      <c r="B95" s="192"/>
      <c r="C95" s="193"/>
      <c r="D95" s="193"/>
      <c r="E95" s="193"/>
      <c r="F95" s="192"/>
      <c r="G95" s="194"/>
      <c r="H95" s="192"/>
      <c r="I95" s="192"/>
      <c r="J95" s="62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</row>
    <row r="96" spans="1:51" x14ac:dyDescent="0.35">
      <c r="A96" s="192"/>
      <c r="B96" s="192"/>
      <c r="C96" s="193"/>
      <c r="D96" s="193"/>
      <c r="E96" s="193"/>
      <c r="F96" s="192"/>
      <c r="G96" s="194"/>
      <c r="H96" s="192"/>
      <c r="I96" s="192"/>
      <c r="J96" s="62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</row>
    <row r="97" spans="1:51" x14ac:dyDescent="0.35">
      <c r="A97" s="192"/>
      <c r="B97" s="192"/>
      <c r="C97" s="193"/>
      <c r="D97" s="193"/>
      <c r="E97" s="193"/>
      <c r="F97" s="192"/>
      <c r="G97" s="194"/>
      <c r="H97" s="192"/>
      <c r="I97" s="192"/>
      <c r="J97" s="62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</row>
    <row r="98" spans="1:51" x14ac:dyDescent="0.35">
      <c r="A98" s="192"/>
      <c r="B98" s="192"/>
      <c r="C98" s="193"/>
      <c r="D98" s="193"/>
      <c r="E98" s="193"/>
      <c r="F98" s="192"/>
      <c r="G98" s="194"/>
      <c r="H98" s="192"/>
      <c r="I98" s="192"/>
      <c r="J98" s="62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</row>
    <row r="99" spans="1:51" x14ac:dyDescent="0.35">
      <c r="A99" s="192"/>
      <c r="B99" s="192"/>
      <c r="C99" s="193"/>
      <c r="D99" s="193"/>
      <c r="E99" s="193"/>
      <c r="F99" s="192"/>
      <c r="G99" s="194"/>
      <c r="H99" s="192"/>
      <c r="I99" s="192"/>
      <c r="J99" s="62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</row>
    <row r="100" spans="1:51" x14ac:dyDescent="0.35">
      <c r="A100" s="192"/>
      <c r="B100" s="192"/>
      <c r="C100" s="193"/>
      <c r="D100" s="193"/>
      <c r="E100" s="193"/>
      <c r="F100" s="192"/>
      <c r="G100" s="194"/>
      <c r="H100" s="192"/>
      <c r="I100" s="192"/>
      <c r="J100" s="62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</row>
    <row r="101" spans="1:51" x14ac:dyDescent="0.35">
      <c r="A101" s="192"/>
      <c r="B101" s="192"/>
      <c r="C101" s="193"/>
      <c r="D101" s="193"/>
      <c r="E101" s="193"/>
      <c r="F101" s="192"/>
      <c r="G101" s="194"/>
      <c r="H101" s="192"/>
      <c r="I101" s="192"/>
      <c r="J101" s="62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</row>
    <row r="102" spans="1:51" x14ac:dyDescent="0.35">
      <c r="A102" s="192"/>
      <c r="B102" s="192"/>
      <c r="C102" s="193"/>
      <c r="D102" s="193"/>
      <c r="E102" s="193"/>
      <c r="F102" s="192"/>
      <c r="G102" s="194"/>
      <c r="H102" s="192"/>
      <c r="I102" s="192"/>
      <c r="J102" s="62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</row>
    <row r="103" spans="1:51" x14ac:dyDescent="0.35">
      <c r="A103" s="192"/>
      <c r="B103" s="192"/>
      <c r="C103" s="193"/>
      <c r="D103" s="193"/>
      <c r="E103" s="193"/>
      <c r="F103" s="192"/>
      <c r="G103" s="194"/>
      <c r="H103" s="192"/>
      <c r="I103" s="192"/>
      <c r="J103" s="62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</row>
    <row r="104" spans="1:51" x14ac:dyDescent="0.35">
      <c r="A104" s="192"/>
      <c r="B104" s="192"/>
      <c r="C104" s="193"/>
      <c r="D104" s="193"/>
      <c r="E104" s="193"/>
      <c r="F104" s="192"/>
      <c r="G104" s="194"/>
      <c r="H104" s="192"/>
      <c r="I104" s="192"/>
      <c r="J104" s="62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</row>
    <row r="105" spans="1:51" x14ac:dyDescent="0.35">
      <c r="A105" s="192"/>
      <c r="B105" s="192"/>
      <c r="C105" s="193"/>
      <c r="D105" s="193"/>
      <c r="E105" s="193"/>
      <c r="F105" s="192"/>
      <c r="G105" s="194"/>
      <c r="H105" s="192"/>
      <c r="I105" s="192"/>
      <c r="J105" s="62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</row>
    <row r="106" spans="1:51" x14ac:dyDescent="0.35">
      <c r="A106" s="192"/>
      <c r="B106" s="192"/>
      <c r="C106" s="193"/>
      <c r="D106" s="193"/>
      <c r="E106" s="193"/>
      <c r="F106" s="192"/>
      <c r="G106" s="194"/>
      <c r="H106" s="192"/>
      <c r="I106" s="192"/>
      <c r="J106" s="62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</row>
    <row r="107" spans="1:51" x14ac:dyDescent="0.35">
      <c r="A107" s="192"/>
      <c r="B107" s="192"/>
      <c r="C107" s="193"/>
      <c r="D107" s="193"/>
      <c r="E107" s="193"/>
      <c r="F107" s="192"/>
      <c r="G107" s="194"/>
      <c r="H107" s="192"/>
      <c r="I107" s="192"/>
      <c r="J107" s="62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</row>
    <row r="108" spans="1:51" x14ac:dyDescent="0.35">
      <c r="A108" s="192"/>
      <c r="B108" s="192"/>
      <c r="C108" s="193"/>
      <c r="D108" s="193"/>
      <c r="E108" s="193"/>
      <c r="F108" s="192"/>
      <c r="G108" s="194"/>
      <c r="H108" s="192"/>
      <c r="I108" s="192"/>
      <c r="J108" s="62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</row>
    <row r="109" spans="1:51" x14ac:dyDescent="0.35">
      <c r="A109" s="192"/>
      <c r="B109" s="192"/>
      <c r="C109" s="193"/>
      <c r="D109" s="193"/>
      <c r="E109" s="193"/>
      <c r="F109" s="192"/>
      <c r="G109" s="194"/>
      <c r="H109" s="192"/>
      <c r="I109" s="192"/>
      <c r="J109" s="62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</row>
    <row r="110" spans="1:51" x14ac:dyDescent="0.35">
      <c r="A110" s="192"/>
      <c r="B110" s="192"/>
      <c r="C110" s="193"/>
      <c r="D110" s="193"/>
      <c r="E110" s="193"/>
      <c r="F110" s="192"/>
      <c r="G110" s="194"/>
      <c r="H110" s="192"/>
      <c r="I110" s="192"/>
      <c r="J110" s="62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</row>
    <row r="111" spans="1:51" x14ac:dyDescent="0.35">
      <c r="A111" s="192"/>
      <c r="B111" s="192"/>
      <c r="C111" s="193"/>
      <c r="D111" s="193"/>
      <c r="E111" s="193"/>
      <c r="F111" s="192"/>
      <c r="G111" s="194"/>
      <c r="H111" s="192"/>
      <c r="I111" s="192"/>
      <c r="J111" s="62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</row>
    <row r="112" spans="1:51" x14ac:dyDescent="0.35">
      <c r="A112" s="192"/>
      <c r="B112" s="192"/>
      <c r="C112" s="193"/>
      <c r="D112" s="193"/>
      <c r="E112" s="193"/>
      <c r="F112" s="192"/>
      <c r="G112" s="194"/>
      <c r="H112" s="192"/>
      <c r="I112" s="192"/>
      <c r="J112" s="62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</row>
    <row r="113" spans="1:51" x14ac:dyDescent="0.35">
      <c r="A113" s="192"/>
      <c r="B113" s="192"/>
      <c r="C113" s="193"/>
      <c r="D113" s="193"/>
      <c r="E113" s="193"/>
      <c r="F113" s="192"/>
      <c r="G113" s="194"/>
      <c r="H113" s="192"/>
      <c r="I113" s="192"/>
      <c r="J113" s="62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</row>
    <row r="114" spans="1:51" x14ac:dyDescent="0.35">
      <c r="A114" s="192"/>
      <c r="B114" s="192"/>
      <c r="C114" s="193"/>
      <c r="D114" s="193"/>
      <c r="E114" s="193"/>
      <c r="F114" s="192"/>
      <c r="G114" s="194"/>
      <c r="H114" s="192"/>
      <c r="I114" s="192"/>
      <c r="J114" s="62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</row>
    <row r="115" spans="1:51" x14ac:dyDescent="0.35">
      <c r="A115" s="192"/>
      <c r="B115" s="192"/>
      <c r="C115" s="193"/>
      <c r="D115" s="193"/>
      <c r="E115" s="193"/>
      <c r="F115" s="192"/>
      <c r="G115" s="194"/>
      <c r="H115" s="192"/>
      <c r="I115" s="192"/>
      <c r="J115" s="62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</row>
    <row r="116" spans="1:51" x14ac:dyDescent="0.35">
      <c r="A116" s="192"/>
      <c r="B116" s="192"/>
      <c r="C116" s="193"/>
      <c r="D116" s="193"/>
      <c r="E116" s="193"/>
      <c r="F116" s="192"/>
      <c r="G116" s="194"/>
      <c r="H116" s="192"/>
      <c r="I116" s="192"/>
      <c r="J116" s="62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</row>
    <row r="117" spans="1:51" x14ac:dyDescent="0.35">
      <c r="A117" s="192"/>
      <c r="B117" s="192"/>
      <c r="C117" s="193"/>
      <c r="D117" s="193"/>
      <c r="E117" s="193"/>
      <c r="F117" s="192"/>
      <c r="G117" s="194"/>
      <c r="H117" s="192"/>
      <c r="I117" s="192"/>
      <c r="J117" s="62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</row>
    <row r="118" spans="1:51" x14ac:dyDescent="0.35">
      <c r="A118" s="192"/>
      <c r="B118" s="192"/>
      <c r="C118" s="193"/>
      <c r="D118" s="193"/>
      <c r="E118" s="193"/>
      <c r="F118" s="192"/>
      <c r="G118" s="194"/>
      <c r="H118" s="192"/>
      <c r="I118" s="192"/>
      <c r="J118" s="62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</row>
    <row r="119" spans="1:51" x14ac:dyDescent="0.35">
      <c r="A119" s="192"/>
      <c r="B119" s="192"/>
      <c r="C119" s="193"/>
      <c r="D119" s="193"/>
      <c r="E119" s="193"/>
      <c r="F119" s="192"/>
      <c r="G119" s="194"/>
      <c r="H119" s="192"/>
      <c r="I119" s="192"/>
      <c r="J119" s="62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</row>
    <row r="120" spans="1:51" x14ac:dyDescent="0.35">
      <c r="A120" s="192"/>
      <c r="B120" s="192"/>
      <c r="C120" s="193"/>
      <c r="D120" s="193"/>
      <c r="E120" s="193"/>
      <c r="F120" s="192"/>
      <c r="G120" s="194"/>
      <c r="H120" s="192"/>
      <c r="I120" s="192"/>
      <c r="J120" s="62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</row>
    <row r="121" spans="1:51" x14ac:dyDescent="0.35">
      <c r="A121" s="192"/>
      <c r="B121" s="192"/>
      <c r="C121" s="193"/>
      <c r="D121" s="193"/>
      <c r="E121" s="193"/>
      <c r="F121" s="192"/>
      <c r="G121" s="194"/>
      <c r="H121" s="192"/>
      <c r="I121" s="192"/>
      <c r="J121" s="62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</row>
    <row r="122" spans="1:51" x14ac:dyDescent="0.35">
      <c r="A122" s="192"/>
      <c r="B122" s="192"/>
      <c r="C122" s="193"/>
      <c r="D122" s="193"/>
      <c r="E122" s="193"/>
      <c r="F122" s="192"/>
      <c r="G122" s="194"/>
      <c r="H122" s="192"/>
      <c r="I122" s="192"/>
      <c r="J122" s="62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</row>
    <row r="123" spans="1:51" x14ac:dyDescent="0.35">
      <c r="A123" s="192"/>
      <c r="B123" s="192"/>
      <c r="C123" s="193"/>
      <c r="D123" s="193"/>
      <c r="E123" s="193"/>
      <c r="F123" s="192"/>
      <c r="G123" s="194"/>
      <c r="H123" s="192"/>
      <c r="I123" s="192"/>
      <c r="J123" s="62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</row>
    <row r="124" spans="1:51" x14ac:dyDescent="0.35">
      <c r="A124" s="192"/>
      <c r="B124" s="192"/>
      <c r="C124" s="193"/>
      <c r="D124" s="193"/>
      <c r="E124" s="193"/>
      <c r="F124" s="192"/>
      <c r="G124" s="194"/>
      <c r="H124" s="192"/>
      <c r="I124" s="192"/>
      <c r="J124" s="62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</row>
    <row r="125" spans="1:51" x14ac:dyDescent="0.35">
      <c r="A125" s="192"/>
      <c r="B125" s="192"/>
      <c r="C125" s="193"/>
      <c r="D125" s="193"/>
      <c r="E125" s="193"/>
      <c r="F125" s="192"/>
      <c r="G125" s="194"/>
      <c r="H125" s="192"/>
      <c r="I125" s="192"/>
      <c r="J125" s="62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</row>
    <row r="126" spans="1:51" x14ac:dyDescent="0.35">
      <c r="A126" s="192"/>
      <c r="B126" s="192"/>
      <c r="C126" s="193"/>
      <c r="D126" s="193"/>
      <c r="E126" s="193"/>
      <c r="F126" s="192"/>
      <c r="G126" s="194"/>
      <c r="H126" s="192"/>
      <c r="I126" s="192"/>
      <c r="J126" s="62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</row>
    <row r="127" spans="1:51" x14ac:dyDescent="0.35">
      <c r="A127" s="192"/>
      <c r="B127" s="192"/>
      <c r="C127" s="193"/>
      <c r="D127" s="193"/>
      <c r="E127" s="193"/>
      <c r="F127" s="192"/>
      <c r="G127" s="194"/>
      <c r="H127" s="192"/>
      <c r="I127" s="192"/>
      <c r="J127" s="62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</row>
    <row r="128" spans="1:51" x14ac:dyDescent="0.35">
      <c r="A128" s="192"/>
      <c r="B128" s="192"/>
      <c r="C128" s="193"/>
      <c r="D128" s="193"/>
      <c r="E128" s="193"/>
      <c r="F128" s="192"/>
      <c r="G128" s="194"/>
      <c r="H128" s="192"/>
      <c r="I128" s="192"/>
      <c r="J128" s="62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</row>
    <row r="129" spans="1:51" x14ac:dyDescent="0.35">
      <c r="A129" s="192"/>
      <c r="B129" s="192"/>
      <c r="C129" s="193"/>
      <c r="D129" s="193"/>
      <c r="E129" s="193"/>
      <c r="F129" s="192"/>
      <c r="G129" s="194"/>
      <c r="H129" s="192"/>
      <c r="I129" s="192"/>
      <c r="J129" s="62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</row>
    <row r="130" spans="1:51" x14ac:dyDescent="0.35">
      <c r="A130" s="192"/>
      <c r="B130" s="192"/>
      <c r="C130" s="193"/>
      <c r="D130" s="193"/>
      <c r="E130" s="193"/>
      <c r="F130" s="192"/>
      <c r="G130" s="194"/>
      <c r="H130" s="192"/>
      <c r="I130" s="192"/>
      <c r="J130" s="62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</row>
    <row r="131" spans="1:51" x14ac:dyDescent="0.35">
      <c r="A131" s="192"/>
      <c r="B131" s="192"/>
      <c r="C131" s="193"/>
      <c r="D131" s="193"/>
      <c r="E131" s="193"/>
      <c r="F131" s="192"/>
      <c r="G131" s="194"/>
      <c r="H131" s="192"/>
      <c r="I131" s="192"/>
      <c r="J131" s="62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</row>
    <row r="132" spans="1:51" x14ac:dyDescent="0.35">
      <c r="A132" s="192"/>
      <c r="B132" s="192"/>
      <c r="C132" s="193"/>
      <c r="D132" s="193"/>
      <c r="E132" s="193"/>
      <c r="F132" s="192"/>
      <c r="G132" s="194"/>
      <c r="H132" s="192"/>
      <c r="I132" s="192"/>
      <c r="J132" s="62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</row>
    <row r="133" spans="1:51" x14ac:dyDescent="0.35">
      <c r="A133" s="192"/>
      <c r="B133" s="192"/>
      <c r="C133" s="193"/>
      <c r="D133" s="193"/>
      <c r="E133" s="193"/>
      <c r="F133" s="192"/>
      <c r="G133" s="194"/>
      <c r="H133" s="192"/>
      <c r="I133" s="192"/>
      <c r="J133" s="62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</row>
    <row r="134" spans="1:51" x14ac:dyDescent="0.35">
      <c r="A134" s="192"/>
      <c r="B134" s="192"/>
      <c r="C134" s="193"/>
      <c r="D134" s="193"/>
      <c r="E134" s="193"/>
      <c r="F134" s="192"/>
      <c r="G134" s="194"/>
      <c r="H134" s="192"/>
      <c r="I134" s="192"/>
      <c r="J134" s="62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</row>
    <row r="135" spans="1:51" x14ac:dyDescent="0.35">
      <c r="A135" s="192"/>
      <c r="B135" s="192"/>
      <c r="C135" s="193"/>
      <c r="D135" s="193"/>
      <c r="E135" s="193"/>
      <c r="F135" s="192"/>
      <c r="G135" s="194"/>
      <c r="H135" s="192"/>
      <c r="I135" s="192"/>
      <c r="J135" s="62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</row>
    <row r="136" spans="1:51" x14ac:dyDescent="0.35">
      <c r="A136" s="192"/>
      <c r="B136" s="192"/>
      <c r="C136" s="193"/>
      <c r="D136" s="193"/>
      <c r="E136" s="193"/>
      <c r="F136" s="192"/>
      <c r="G136" s="194"/>
      <c r="H136" s="192"/>
      <c r="I136" s="192"/>
      <c r="J136" s="62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</row>
    <row r="137" spans="1:51" x14ac:dyDescent="0.35">
      <c r="A137" s="192"/>
      <c r="B137" s="192"/>
      <c r="C137" s="193"/>
      <c r="D137" s="193"/>
      <c r="E137" s="193"/>
      <c r="F137" s="192"/>
      <c r="G137" s="194"/>
      <c r="H137" s="192"/>
      <c r="I137" s="192"/>
      <c r="J137" s="62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</row>
    <row r="138" spans="1:51" x14ac:dyDescent="0.35">
      <c r="A138" s="192"/>
      <c r="B138" s="192"/>
      <c r="C138" s="193"/>
      <c r="D138" s="193"/>
      <c r="E138" s="193"/>
      <c r="F138" s="192"/>
      <c r="G138" s="194"/>
      <c r="H138" s="192"/>
      <c r="I138" s="192"/>
      <c r="J138" s="62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</row>
    <row r="139" spans="1:51" x14ac:dyDescent="0.35">
      <c r="A139" s="192"/>
      <c r="B139" s="192"/>
      <c r="C139" s="193"/>
      <c r="D139" s="193"/>
      <c r="E139" s="193"/>
      <c r="F139" s="192"/>
      <c r="G139" s="194"/>
      <c r="H139" s="192"/>
      <c r="I139" s="192"/>
      <c r="J139" s="62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</row>
    <row r="140" spans="1:51" x14ac:dyDescent="0.35">
      <c r="A140" s="62"/>
      <c r="B140" s="62"/>
      <c r="C140" s="196"/>
      <c r="D140" s="196"/>
      <c r="E140" s="196"/>
      <c r="F140" s="62"/>
      <c r="G140" s="197"/>
      <c r="H140" s="62"/>
      <c r="I140" s="62"/>
      <c r="J140" s="62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</row>
    <row r="141" spans="1:51" x14ac:dyDescent="0.35">
      <c r="A141" s="62"/>
      <c r="B141" s="62"/>
      <c r="C141" s="196"/>
      <c r="D141" s="196"/>
      <c r="E141" s="196"/>
      <c r="F141" s="62"/>
      <c r="G141" s="197"/>
      <c r="H141" s="62"/>
      <c r="I141" s="62"/>
      <c r="J141" s="62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</row>
    <row r="142" spans="1:51" x14ac:dyDescent="0.35">
      <c r="A142" s="62"/>
      <c r="B142" s="62"/>
      <c r="C142" s="196"/>
      <c r="D142" s="196"/>
      <c r="E142" s="196"/>
      <c r="F142" s="62"/>
      <c r="G142" s="197"/>
      <c r="H142" s="62"/>
      <c r="I142" s="62"/>
      <c r="J142" s="62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</row>
    <row r="143" spans="1:51" x14ac:dyDescent="0.35">
      <c r="A143" s="62"/>
      <c r="B143" s="62"/>
      <c r="C143" s="196"/>
      <c r="D143" s="196"/>
      <c r="E143" s="196"/>
      <c r="F143" s="62"/>
      <c r="G143" s="197"/>
      <c r="H143" s="62"/>
      <c r="I143" s="62"/>
      <c r="J143" s="62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</row>
    <row r="144" spans="1:51" x14ac:dyDescent="0.35">
      <c r="A144" s="62"/>
      <c r="B144" s="62"/>
      <c r="C144" s="196"/>
      <c r="D144" s="196"/>
      <c r="E144" s="196"/>
      <c r="F144" s="62"/>
      <c r="G144" s="197"/>
      <c r="H144" s="62"/>
      <c r="I144" s="62"/>
      <c r="J144" s="62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</row>
    <row r="145" spans="1:51" x14ac:dyDescent="0.35">
      <c r="A145" s="62"/>
      <c r="B145" s="62"/>
      <c r="C145" s="196"/>
      <c r="D145" s="196"/>
      <c r="E145" s="196"/>
      <c r="F145" s="62"/>
      <c r="G145" s="197"/>
      <c r="H145" s="62"/>
      <c r="I145" s="62"/>
      <c r="J145" s="62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</row>
    <row r="146" spans="1:51" x14ac:dyDescent="0.35">
      <c r="A146" s="62"/>
      <c r="B146" s="62"/>
      <c r="C146" s="196"/>
      <c r="D146" s="196"/>
      <c r="E146" s="196"/>
      <c r="F146" s="62"/>
      <c r="G146" s="197"/>
      <c r="H146" s="62"/>
      <c r="I146" s="62"/>
      <c r="J146" s="62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</row>
    <row r="147" spans="1:51" x14ac:dyDescent="0.35">
      <c r="A147" s="62"/>
      <c r="B147" s="62"/>
      <c r="C147" s="196"/>
      <c r="D147" s="196"/>
      <c r="E147" s="196"/>
      <c r="F147" s="62"/>
      <c r="G147" s="197"/>
      <c r="H147" s="62"/>
      <c r="I147" s="62"/>
      <c r="J147" s="62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</row>
    <row r="148" spans="1:51" x14ac:dyDescent="0.35">
      <c r="A148" s="62"/>
      <c r="B148" s="62"/>
      <c r="C148" s="196"/>
      <c r="D148" s="196"/>
      <c r="E148" s="196"/>
      <c r="F148" s="62"/>
      <c r="G148" s="197"/>
      <c r="H148" s="62"/>
      <c r="I148" s="62"/>
      <c r="J148" s="62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</row>
    <row r="149" spans="1:51" x14ac:dyDescent="0.35">
      <c r="A149" s="62"/>
      <c r="B149" s="62"/>
      <c r="C149" s="196"/>
      <c r="D149" s="196"/>
      <c r="E149" s="196"/>
      <c r="F149" s="62"/>
      <c r="G149" s="197"/>
      <c r="H149" s="62"/>
      <c r="I149" s="62"/>
      <c r="J149" s="62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</row>
    <row r="150" spans="1:51" x14ac:dyDescent="0.35">
      <c r="A150" s="62"/>
      <c r="B150" s="62"/>
      <c r="C150" s="196"/>
      <c r="D150" s="196"/>
      <c r="E150" s="196"/>
      <c r="F150" s="62"/>
      <c r="G150" s="197"/>
      <c r="H150" s="62"/>
      <c r="I150" s="62"/>
      <c r="J150" s="62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</row>
    <row r="151" spans="1:51" x14ac:dyDescent="0.35">
      <c r="A151" s="62"/>
      <c r="B151" s="62"/>
      <c r="C151" s="196"/>
      <c r="D151" s="196"/>
      <c r="E151" s="196"/>
      <c r="F151" s="62"/>
      <c r="G151" s="197"/>
      <c r="H151" s="62"/>
      <c r="I151" s="62"/>
      <c r="J151" s="62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</row>
    <row r="152" spans="1:51" x14ac:dyDescent="0.35">
      <c r="A152" s="62"/>
      <c r="B152" s="62"/>
      <c r="C152" s="196"/>
      <c r="D152" s="196"/>
      <c r="E152" s="196"/>
      <c r="F152" s="62"/>
      <c r="G152" s="197"/>
      <c r="H152" s="62"/>
      <c r="I152" s="62"/>
      <c r="J152" s="62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</row>
    <row r="153" spans="1:51" x14ac:dyDescent="0.35">
      <c r="A153" s="62"/>
      <c r="B153" s="62"/>
      <c r="C153" s="196"/>
      <c r="D153" s="196"/>
      <c r="E153" s="196"/>
      <c r="F153" s="62"/>
      <c r="G153" s="197"/>
      <c r="H153" s="62"/>
      <c r="I153" s="62"/>
      <c r="J153" s="62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</row>
    <row r="154" spans="1:51" x14ac:dyDescent="0.35">
      <c r="A154" s="62"/>
      <c r="B154" s="62"/>
      <c r="C154" s="196"/>
      <c r="D154" s="196"/>
      <c r="E154" s="196"/>
      <c r="F154" s="62"/>
      <c r="G154" s="197"/>
      <c r="H154" s="62"/>
      <c r="I154" s="62"/>
      <c r="J154" s="62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</row>
    <row r="155" spans="1:51" x14ac:dyDescent="0.35">
      <c r="A155" s="62"/>
      <c r="B155" s="62"/>
      <c r="C155" s="196"/>
      <c r="D155" s="196"/>
      <c r="E155" s="196"/>
      <c r="F155" s="62"/>
      <c r="G155" s="197"/>
      <c r="H155" s="62"/>
      <c r="I155" s="62"/>
      <c r="J155" s="62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</row>
    <row r="156" spans="1:51" x14ac:dyDescent="0.35">
      <c r="A156" s="62"/>
      <c r="B156" s="62"/>
      <c r="C156" s="196"/>
      <c r="D156" s="196"/>
      <c r="E156" s="196"/>
      <c r="F156" s="62"/>
      <c r="G156" s="197"/>
      <c r="H156" s="62"/>
      <c r="I156" s="62"/>
      <c r="J156" s="62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</row>
    <row r="157" spans="1:51" x14ac:dyDescent="0.35">
      <c r="A157" s="62"/>
      <c r="B157" s="62"/>
      <c r="C157" s="196"/>
      <c r="D157" s="196"/>
      <c r="E157" s="196"/>
      <c r="F157" s="62"/>
      <c r="G157" s="197"/>
      <c r="H157" s="62"/>
      <c r="I157" s="62"/>
      <c r="J157" s="62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</row>
    <row r="158" spans="1:51" x14ac:dyDescent="0.35">
      <c r="A158" s="62"/>
      <c r="B158" s="62"/>
      <c r="C158" s="196"/>
      <c r="D158" s="196"/>
      <c r="E158" s="196"/>
      <c r="F158" s="62"/>
      <c r="G158" s="197"/>
      <c r="H158" s="62"/>
      <c r="I158" s="62"/>
      <c r="J158" s="62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</row>
    <row r="159" spans="1:51" x14ac:dyDescent="0.35">
      <c r="A159" s="62"/>
      <c r="B159" s="62"/>
      <c r="C159" s="196"/>
      <c r="D159" s="196"/>
      <c r="E159" s="196"/>
      <c r="F159" s="62"/>
      <c r="G159" s="197"/>
      <c r="H159" s="62"/>
      <c r="I159" s="62"/>
      <c r="J159" s="62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</row>
    <row r="160" spans="1:51" x14ac:dyDescent="0.35">
      <c r="A160" s="62"/>
      <c r="B160" s="62"/>
      <c r="C160" s="196"/>
      <c r="D160" s="196"/>
      <c r="E160" s="196"/>
      <c r="F160" s="62"/>
      <c r="G160" s="197"/>
      <c r="H160" s="62"/>
      <c r="I160" s="62"/>
      <c r="J160" s="62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</row>
    <row r="161" spans="1:51" x14ac:dyDescent="0.35">
      <c r="A161" s="62"/>
      <c r="B161" s="62"/>
      <c r="C161" s="196"/>
      <c r="D161" s="196"/>
      <c r="E161" s="196"/>
      <c r="F161" s="62"/>
      <c r="G161" s="197"/>
      <c r="H161" s="62"/>
      <c r="I161" s="62"/>
      <c r="J161" s="62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</row>
    <row r="162" spans="1:51" x14ac:dyDescent="0.35">
      <c r="A162" s="62"/>
      <c r="B162" s="62"/>
      <c r="C162" s="196"/>
      <c r="D162" s="196"/>
      <c r="E162" s="196"/>
      <c r="F162" s="62"/>
      <c r="G162" s="197"/>
      <c r="H162" s="62"/>
      <c r="I162" s="62"/>
      <c r="J162" s="62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</row>
    <row r="163" spans="1:51" x14ac:dyDescent="0.35">
      <c r="A163" s="62"/>
      <c r="B163" s="62"/>
      <c r="C163" s="196"/>
      <c r="D163" s="196"/>
      <c r="E163" s="196"/>
      <c r="F163" s="62"/>
      <c r="G163" s="197"/>
      <c r="H163" s="62"/>
      <c r="I163" s="62"/>
      <c r="J163" s="62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</row>
    <row r="164" spans="1:51" x14ac:dyDescent="0.35">
      <c r="A164" s="62"/>
      <c r="B164" s="62"/>
      <c r="C164" s="196"/>
      <c r="D164" s="196"/>
      <c r="E164" s="196"/>
      <c r="F164" s="62"/>
      <c r="G164" s="197"/>
      <c r="H164" s="62"/>
      <c r="I164" s="62"/>
      <c r="J164" s="62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</row>
    <row r="165" spans="1:51" x14ac:dyDescent="0.35">
      <c r="A165" s="62"/>
      <c r="B165" s="62"/>
      <c r="C165" s="196"/>
      <c r="D165" s="196"/>
      <c r="E165" s="196"/>
      <c r="F165" s="62"/>
      <c r="G165" s="197"/>
      <c r="H165" s="62"/>
      <c r="I165" s="62"/>
      <c r="J165" s="62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</row>
    <row r="166" spans="1:51" x14ac:dyDescent="0.35">
      <c r="A166" s="62"/>
      <c r="B166" s="62"/>
      <c r="C166" s="196"/>
      <c r="D166" s="196"/>
      <c r="E166" s="196"/>
      <c r="F166" s="62"/>
      <c r="G166" s="197"/>
      <c r="H166" s="62"/>
      <c r="I166" s="62"/>
      <c r="J166" s="62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</row>
    <row r="167" spans="1:51" x14ac:dyDescent="0.35">
      <c r="A167" s="62"/>
      <c r="B167" s="62"/>
      <c r="C167" s="196"/>
      <c r="D167" s="196"/>
      <c r="E167" s="196"/>
      <c r="F167" s="62"/>
      <c r="G167" s="197"/>
      <c r="H167" s="62"/>
      <c r="I167" s="62"/>
      <c r="J167" s="62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</row>
    <row r="168" spans="1:51" x14ac:dyDescent="0.35">
      <c r="A168" s="62"/>
      <c r="B168" s="62"/>
      <c r="C168" s="196"/>
      <c r="D168" s="196"/>
      <c r="E168" s="196"/>
      <c r="F168" s="62"/>
      <c r="G168" s="197"/>
      <c r="H168" s="62"/>
      <c r="I168" s="62"/>
      <c r="J168" s="62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</row>
    <row r="169" spans="1:51" x14ac:dyDescent="0.35">
      <c r="A169" s="62"/>
      <c r="B169" s="62"/>
      <c r="C169" s="196"/>
      <c r="D169" s="196"/>
      <c r="E169" s="196"/>
      <c r="F169" s="62"/>
      <c r="G169" s="197"/>
      <c r="H169" s="62"/>
      <c r="I169" s="62"/>
      <c r="J169" s="62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</row>
    <row r="170" spans="1:51" x14ac:dyDescent="0.35">
      <c r="A170" s="62"/>
      <c r="B170" s="62"/>
      <c r="C170" s="196"/>
      <c r="D170" s="196"/>
      <c r="E170" s="196"/>
      <c r="F170" s="62"/>
      <c r="G170" s="197"/>
      <c r="H170" s="62"/>
      <c r="I170" s="62"/>
      <c r="J170" s="62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</row>
    <row r="171" spans="1:51" x14ac:dyDescent="0.35">
      <c r="A171" s="62"/>
      <c r="B171" s="62"/>
      <c r="C171" s="196"/>
      <c r="D171" s="196"/>
      <c r="E171" s="196"/>
      <c r="F171" s="62"/>
      <c r="G171" s="197"/>
      <c r="H171" s="62"/>
      <c r="I171" s="62"/>
      <c r="J171" s="62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</row>
    <row r="172" spans="1:51" x14ac:dyDescent="0.35">
      <c r="A172" s="62"/>
      <c r="B172" s="62"/>
      <c r="C172" s="196"/>
      <c r="D172" s="196"/>
      <c r="E172" s="196"/>
      <c r="F172" s="62"/>
      <c r="G172" s="197"/>
      <c r="H172" s="62"/>
      <c r="I172" s="62"/>
      <c r="J172" s="62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</row>
    <row r="173" spans="1:51" x14ac:dyDescent="0.35">
      <c r="A173" s="62"/>
      <c r="B173" s="62"/>
      <c r="C173" s="196"/>
      <c r="D173" s="196"/>
      <c r="E173" s="196"/>
      <c r="F173" s="62"/>
      <c r="G173" s="197"/>
      <c r="H173" s="62"/>
      <c r="I173" s="62"/>
      <c r="J173" s="62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</row>
    <row r="174" spans="1:51" x14ac:dyDescent="0.35">
      <c r="A174" s="62"/>
      <c r="B174" s="62"/>
      <c r="C174" s="196"/>
      <c r="D174" s="196"/>
      <c r="E174" s="196"/>
      <c r="F174" s="62"/>
      <c r="G174" s="197"/>
      <c r="H174" s="62"/>
      <c r="I174" s="62"/>
      <c r="J174" s="62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</row>
    <row r="175" spans="1:51" x14ac:dyDescent="0.35">
      <c r="A175" s="62"/>
      <c r="B175" s="62"/>
      <c r="C175" s="196"/>
      <c r="D175" s="196"/>
      <c r="E175" s="196"/>
      <c r="F175" s="62"/>
      <c r="G175" s="197"/>
      <c r="H175" s="62"/>
      <c r="I175" s="62"/>
      <c r="J175" s="62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</row>
    <row r="176" spans="1:51" x14ac:dyDescent="0.35">
      <c r="A176" s="62"/>
      <c r="B176" s="62"/>
      <c r="C176" s="196"/>
      <c r="D176" s="196"/>
      <c r="E176" s="196"/>
      <c r="F176" s="62"/>
      <c r="G176" s="197"/>
      <c r="H176" s="62"/>
      <c r="I176" s="62"/>
      <c r="J176" s="62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</row>
    <row r="177" spans="1:51" x14ac:dyDescent="0.35">
      <c r="A177" s="62"/>
      <c r="B177" s="62"/>
      <c r="C177" s="196"/>
      <c r="D177" s="196"/>
      <c r="E177" s="196"/>
      <c r="F177" s="62"/>
      <c r="G177" s="197"/>
      <c r="H177" s="62"/>
      <c r="I177" s="62"/>
      <c r="J177" s="62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</row>
    <row r="178" spans="1:51" x14ac:dyDescent="0.35">
      <c r="A178" s="62"/>
      <c r="B178" s="62"/>
      <c r="C178" s="196"/>
      <c r="D178" s="196"/>
      <c r="E178" s="196"/>
      <c r="F178" s="62"/>
      <c r="G178" s="197"/>
      <c r="H178" s="62"/>
      <c r="I178" s="62"/>
      <c r="J178" s="62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</row>
    <row r="179" spans="1:51" x14ac:dyDescent="0.35">
      <c r="A179" s="62"/>
      <c r="B179" s="62"/>
      <c r="C179" s="196"/>
      <c r="D179" s="196"/>
      <c r="E179" s="196"/>
      <c r="F179" s="62"/>
      <c r="G179" s="197"/>
      <c r="H179" s="62"/>
      <c r="I179" s="62"/>
      <c r="J179" s="62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</row>
    <row r="180" spans="1:51" x14ac:dyDescent="0.35">
      <c r="A180" s="62"/>
      <c r="B180" s="62"/>
      <c r="C180" s="196"/>
      <c r="D180" s="196"/>
      <c r="E180" s="196"/>
      <c r="F180" s="62"/>
      <c r="G180" s="197"/>
      <c r="H180" s="62"/>
      <c r="I180" s="62"/>
      <c r="J180" s="62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</row>
    <row r="181" spans="1:51" x14ac:dyDescent="0.35">
      <c r="A181" s="62"/>
      <c r="B181" s="62"/>
      <c r="C181" s="196"/>
      <c r="D181" s="196"/>
      <c r="E181" s="196"/>
      <c r="F181" s="62"/>
      <c r="G181" s="197"/>
      <c r="H181" s="62"/>
      <c r="I181" s="62"/>
      <c r="J181" s="62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</row>
    <row r="182" spans="1:51" x14ac:dyDescent="0.35">
      <c r="A182" s="62"/>
      <c r="B182" s="62"/>
      <c r="C182" s="196"/>
      <c r="D182" s="196"/>
      <c r="E182" s="196"/>
      <c r="F182" s="62"/>
      <c r="G182" s="197"/>
      <c r="H182" s="62"/>
      <c r="I182" s="62"/>
      <c r="J182" s="62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</row>
    <row r="183" spans="1:51" x14ac:dyDescent="0.35">
      <c r="A183" s="62"/>
      <c r="B183" s="62"/>
      <c r="C183" s="196"/>
      <c r="D183" s="196"/>
      <c r="E183" s="196"/>
      <c r="F183" s="62"/>
      <c r="G183" s="197"/>
      <c r="H183" s="62"/>
      <c r="I183" s="62"/>
      <c r="J183" s="62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</row>
    <row r="184" spans="1:51" x14ac:dyDescent="0.35">
      <c r="A184" s="62"/>
      <c r="B184" s="62"/>
      <c r="C184" s="196"/>
      <c r="D184" s="196"/>
      <c r="E184" s="196"/>
      <c r="F184" s="62"/>
      <c r="G184" s="197"/>
      <c r="H184" s="62"/>
      <c r="I184" s="62"/>
      <c r="J184" s="62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</row>
    <row r="185" spans="1:51" x14ac:dyDescent="0.35">
      <c r="A185" s="62"/>
      <c r="B185" s="62"/>
      <c r="C185" s="196"/>
      <c r="D185" s="196"/>
      <c r="E185" s="196"/>
      <c r="F185" s="62"/>
      <c r="G185" s="197"/>
      <c r="H185" s="62"/>
      <c r="I185" s="62"/>
      <c r="J185" s="62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</row>
    <row r="186" spans="1:51" x14ac:dyDescent="0.35">
      <c r="A186" s="62"/>
      <c r="B186" s="62"/>
      <c r="C186" s="196"/>
      <c r="D186" s="196"/>
      <c r="E186" s="196"/>
      <c r="F186" s="62"/>
      <c r="G186" s="197"/>
      <c r="H186" s="62"/>
      <c r="I186" s="62"/>
      <c r="J186" s="62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</row>
    <row r="187" spans="1:51" x14ac:dyDescent="0.35">
      <c r="A187" s="62"/>
      <c r="B187" s="62"/>
      <c r="C187" s="196"/>
      <c r="D187" s="196"/>
      <c r="E187" s="196"/>
      <c r="F187" s="62"/>
      <c r="G187" s="197"/>
      <c r="H187" s="62"/>
      <c r="I187" s="62"/>
      <c r="J187" s="62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</row>
    <row r="188" spans="1:51" x14ac:dyDescent="0.35">
      <c r="A188" s="62"/>
      <c r="B188" s="62"/>
      <c r="C188" s="196"/>
      <c r="D188" s="196"/>
      <c r="E188" s="196"/>
      <c r="F188" s="62"/>
      <c r="G188" s="197"/>
      <c r="H188" s="62"/>
      <c r="I188" s="62"/>
      <c r="J188" s="62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</row>
    <row r="189" spans="1:51" x14ac:dyDescent="0.35">
      <c r="A189" s="62"/>
      <c r="B189" s="62"/>
      <c r="C189" s="196"/>
      <c r="D189" s="196"/>
      <c r="E189" s="196"/>
      <c r="F189" s="62"/>
      <c r="G189" s="197"/>
      <c r="H189" s="62"/>
      <c r="I189" s="62"/>
      <c r="J189" s="62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</row>
    <row r="190" spans="1:51" x14ac:dyDescent="0.35">
      <c r="A190" s="62"/>
      <c r="B190" s="62"/>
      <c r="C190" s="196"/>
      <c r="D190" s="196"/>
      <c r="E190" s="196"/>
      <c r="F190" s="62"/>
      <c r="G190" s="197"/>
      <c r="H190" s="62"/>
      <c r="I190" s="62"/>
      <c r="J190" s="62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</row>
    <row r="191" spans="1:51" x14ac:dyDescent="0.35">
      <c r="A191" s="62"/>
      <c r="B191" s="62"/>
      <c r="C191" s="196"/>
      <c r="D191" s="196"/>
      <c r="E191" s="196"/>
      <c r="F191" s="62"/>
      <c r="G191" s="197"/>
      <c r="H191" s="62"/>
      <c r="I191" s="62"/>
      <c r="J191" s="62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</row>
    <row r="192" spans="1:51" x14ac:dyDescent="0.35">
      <c r="A192" s="62"/>
      <c r="B192" s="62"/>
      <c r="C192" s="196"/>
      <c r="D192" s="196"/>
      <c r="E192" s="196"/>
      <c r="F192" s="62"/>
      <c r="G192" s="197"/>
      <c r="H192" s="62"/>
      <c r="I192" s="62"/>
      <c r="J192" s="62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</row>
    <row r="193" spans="1:51" x14ac:dyDescent="0.35">
      <c r="A193" s="62"/>
      <c r="B193" s="62"/>
      <c r="C193" s="196"/>
      <c r="D193" s="196"/>
      <c r="E193" s="196"/>
      <c r="F193" s="62"/>
      <c r="G193" s="197"/>
      <c r="H193" s="62"/>
      <c r="I193" s="62"/>
      <c r="J193" s="62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</row>
    <row r="194" spans="1:51" x14ac:dyDescent="0.35">
      <c r="A194" s="62"/>
      <c r="B194" s="62"/>
      <c r="C194" s="196"/>
      <c r="D194" s="196"/>
      <c r="E194" s="196"/>
      <c r="F194" s="62"/>
      <c r="G194" s="197"/>
      <c r="H194" s="62"/>
      <c r="I194" s="62"/>
      <c r="J194" s="62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</row>
    <row r="195" spans="1:51" x14ac:dyDescent="0.35">
      <c r="A195" s="62"/>
      <c r="B195" s="62"/>
      <c r="C195" s="196"/>
      <c r="D195" s="196"/>
      <c r="E195" s="196"/>
      <c r="F195" s="62"/>
      <c r="G195" s="197"/>
      <c r="H195" s="62"/>
      <c r="I195" s="62"/>
      <c r="J195" s="62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</row>
    <row r="196" spans="1:51" x14ac:dyDescent="0.35">
      <c r="A196" s="62"/>
      <c r="B196" s="62"/>
      <c r="C196" s="196"/>
      <c r="D196" s="196"/>
      <c r="E196" s="196"/>
      <c r="F196" s="62"/>
      <c r="G196" s="197"/>
      <c r="H196" s="62"/>
      <c r="I196" s="62"/>
      <c r="J196" s="62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</row>
    <row r="197" spans="1:51" x14ac:dyDescent="0.35">
      <c r="A197" s="62"/>
      <c r="B197" s="62"/>
      <c r="C197" s="196"/>
      <c r="D197" s="196"/>
      <c r="E197" s="196"/>
      <c r="F197" s="62"/>
      <c r="G197" s="197"/>
      <c r="H197" s="62"/>
      <c r="I197" s="62"/>
      <c r="J197" s="62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</row>
    <row r="198" spans="1:51" x14ac:dyDescent="0.35">
      <c r="A198" s="62"/>
      <c r="B198" s="62"/>
      <c r="C198" s="196"/>
      <c r="D198" s="196"/>
      <c r="E198" s="196"/>
      <c r="F198" s="62"/>
      <c r="G198" s="197"/>
      <c r="H198" s="62"/>
      <c r="I198" s="62"/>
      <c r="J198" s="62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</row>
    <row r="199" spans="1:51" x14ac:dyDescent="0.35">
      <c r="A199" s="62"/>
      <c r="B199" s="62"/>
      <c r="C199" s="196"/>
      <c r="D199" s="196"/>
      <c r="E199" s="196"/>
      <c r="F199" s="62"/>
      <c r="G199" s="197"/>
      <c r="H199" s="62"/>
      <c r="I199" s="62"/>
      <c r="J199" s="62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</row>
    <row r="200" spans="1:51" x14ac:dyDescent="0.35">
      <c r="A200" s="62"/>
      <c r="B200" s="62"/>
      <c r="C200" s="196"/>
      <c r="D200" s="196"/>
      <c r="E200" s="196"/>
      <c r="F200" s="62"/>
      <c r="G200" s="197"/>
      <c r="H200" s="62"/>
      <c r="I200" s="62"/>
      <c r="J200" s="62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</row>
    <row r="201" spans="1:51" x14ac:dyDescent="0.35">
      <c r="A201" s="62"/>
      <c r="B201" s="62"/>
      <c r="C201" s="196"/>
      <c r="D201" s="196"/>
      <c r="E201" s="196"/>
      <c r="F201" s="62"/>
      <c r="G201" s="197"/>
      <c r="H201" s="62"/>
      <c r="I201" s="62"/>
      <c r="J201" s="62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</row>
    <row r="202" spans="1:51" x14ac:dyDescent="0.35">
      <c r="A202" s="62"/>
      <c r="B202" s="62"/>
      <c r="C202" s="196"/>
      <c r="D202" s="196"/>
      <c r="E202" s="196"/>
      <c r="F202" s="62"/>
      <c r="G202" s="197"/>
      <c r="H202" s="62"/>
      <c r="I202" s="62"/>
      <c r="J202" s="62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</row>
    <row r="203" spans="1:51" x14ac:dyDescent="0.35">
      <c r="A203" s="62"/>
      <c r="B203" s="62"/>
      <c r="C203" s="196"/>
      <c r="D203" s="196"/>
      <c r="E203" s="196"/>
      <c r="F203" s="62"/>
      <c r="G203" s="197"/>
      <c r="H203" s="62"/>
      <c r="I203" s="62"/>
      <c r="J203" s="62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</row>
    <row r="204" spans="1:51" x14ac:dyDescent="0.35">
      <c r="A204" s="62"/>
      <c r="B204" s="62"/>
      <c r="C204" s="196"/>
      <c r="D204" s="196"/>
      <c r="E204" s="196"/>
      <c r="F204" s="62"/>
      <c r="G204" s="197"/>
      <c r="H204" s="62"/>
      <c r="I204" s="62"/>
      <c r="J204" s="62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</row>
    <row r="205" spans="1:51" x14ac:dyDescent="0.35">
      <c r="A205" s="62"/>
      <c r="B205" s="62"/>
      <c r="C205" s="196"/>
      <c r="D205" s="196"/>
      <c r="E205" s="196"/>
      <c r="F205" s="62"/>
      <c r="G205" s="197"/>
      <c r="H205" s="62"/>
      <c r="I205" s="62"/>
      <c r="J205" s="62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</row>
    <row r="206" spans="1:51" x14ac:dyDescent="0.35">
      <c r="A206" s="62"/>
      <c r="B206" s="62"/>
      <c r="C206" s="196"/>
      <c r="D206" s="196"/>
      <c r="E206" s="196"/>
      <c r="F206" s="62"/>
      <c r="G206" s="197"/>
      <c r="H206" s="62"/>
      <c r="I206" s="62"/>
      <c r="J206" s="62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</row>
    <row r="207" spans="1:51" x14ac:dyDescent="0.35">
      <c r="A207" s="62"/>
      <c r="B207" s="62"/>
      <c r="C207" s="196"/>
      <c r="D207" s="196"/>
      <c r="E207" s="196"/>
      <c r="F207" s="62"/>
      <c r="G207" s="197"/>
      <c r="H207" s="62"/>
      <c r="I207" s="62"/>
      <c r="J207" s="62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</row>
    <row r="208" spans="1:51" x14ac:dyDescent="0.35">
      <c r="A208" s="62"/>
      <c r="B208" s="62"/>
      <c r="C208" s="196"/>
      <c r="D208" s="196"/>
      <c r="E208" s="196"/>
      <c r="F208" s="62"/>
      <c r="G208" s="197"/>
      <c r="H208" s="62"/>
      <c r="I208" s="62"/>
      <c r="J208" s="62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</row>
    <row r="209" spans="1:51" x14ac:dyDescent="0.35">
      <c r="A209" s="62"/>
      <c r="B209" s="62"/>
      <c r="C209" s="196"/>
      <c r="D209" s="196"/>
      <c r="E209" s="196"/>
      <c r="F209" s="62"/>
      <c r="G209" s="197"/>
      <c r="H209" s="62"/>
      <c r="I209" s="62"/>
      <c r="J209" s="62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</row>
    <row r="210" spans="1:51" x14ac:dyDescent="0.35">
      <c r="A210" s="62"/>
      <c r="B210" s="62"/>
      <c r="C210" s="196"/>
      <c r="D210" s="196"/>
      <c r="E210" s="196"/>
      <c r="F210" s="62"/>
      <c r="G210" s="197"/>
      <c r="H210" s="62"/>
      <c r="I210" s="62"/>
      <c r="J210" s="62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</row>
    <row r="211" spans="1:51" x14ac:dyDescent="0.35">
      <c r="A211" s="62"/>
      <c r="B211" s="62"/>
      <c r="C211" s="196"/>
      <c r="D211" s="196"/>
      <c r="E211" s="196"/>
      <c r="F211" s="62"/>
      <c r="G211" s="197"/>
      <c r="H211" s="62"/>
      <c r="I211" s="62"/>
      <c r="J211" s="62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</row>
    <row r="212" spans="1:51" x14ac:dyDescent="0.35">
      <c r="A212" s="62"/>
      <c r="B212" s="62"/>
      <c r="C212" s="196"/>
      <c r="D212" s="196"/>
      <c r="E212" s="196"/>
      <c r="F212" s="62"/>
      <c r="G212" s="197"/>
      <c r="H212" s="62"/>
      <c r="I212" s="62"/>
      <c r="J212" s="62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</row>
    <row r="213" spans="1:51" x14ac:dyDescent="0.35">
      <c r="A213" s="62"/>
      <c r="B213" s="62"/>
      <c r="C213" s="196"/>
      <c r="D213" s="196"/>
      <c r="E213" s="196"/>
      <c r="F213" s="62"/>
      <c r="G213" s="197"/>
      <c r="H213" s="62"/>
      <c r="I213" s="62"/>
      <c r="J213" s="62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</row>
    <row r="214" spans="1:51" x14ac:dyDescent="0.35">
      <c r="A214" s="62"/>
      <c r="B214" s="62"/>
      <c r="C214" s="196"/>
      <c r="D214" s="196"/>
      <c r="E214" s="196"/>
      <c r="F214" s="62"/>
      <c r="G214" s="197"/>
      <c r="H214" s="62"/>
      <c r="I214" s="62"/>
      <c r="J214" s="62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</row>
    <row r="215" spans="1:51" x14ac:dyDescent="0.35">
      <c r="A215" s="62"/>
      <c r="B215" s="62"/>
      <c r="C215" s="196"/>
      <c r="D215" s="196"/>
      <c r="E215" s="196"/>
      <c r="F215" s="62"/>
      <c r="G215" s="197"/>
      <c r="H215" s="62"/>
      <c r="I215" s="62"/>
      <c r="J215" s="62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</row>
    <row r="216" spans="1:51" x14ac:dyDescent="0.35">
      <c r="A216" s="62"/>
      <c r="B216" s="62"/>
      <c r="C216" s="196"/>
      <c r="D216" s="196"/>
      <c r="E216" s="196"/>
      <c r="F216" s="62"/>
      <c r="G216" s="197"/>
      <c r="H216" s="62"/>
      <c r="I216" s="62"/>
      <c r="J216" s="62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</row>
    <row r="217" spans="1:51" x14ac:dyDescent="0.35">
      <c r="A217" s="62"/>
      <c r="B217" s="62"/>
      <c r="C217" s="196"/>
      <c r="D217" s="196"/>
      <c r="E217" s="196"/>
      <c r="F217" s="62"/>
      <c r="G217" s="197"/>
      <c r="H217" s="62"/>
      <c r="I217" s="62"/>
      <c r="J217" s="62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</row>
    <row r="218" spans="1:51" x14ac:dyDescent="0.35">
      <c r="A218" s="62"/>
      <c r="B218" s="62"/>
      <c r="C218" s="196"/>
      <c r="D218" s="196"/>
      <c r="E218" s="196"/>
      <c r="F218" s="62"/>
      <c r="G218" s="197"/>
      <c r="H218" s="62"/>
      <c r="I218" s="62"/>
      <c r="J218" s="62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</row>
    <row r="219" spans="1:51" x14ac:dyDescent="0.35">
      <c r="A219" s="62"/>
      <c r="B219" s="62"/>
      <c r="C219" s="196"/>
      <c r="D219" s="196"/>
      <c r="E219" s="196"/>
      <c r="F219" s="62"/>
      <c r="G219" s="197"/>
      <c r="H219" s="62"/>
      <c r="I219" s="62"/>
      <c r="J219" s="62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</row>
    <row r="220" spans="1:51" x14ac:dyDescent="0.35">
      <c r="A220" s="62"/>
      <c r="B220" s="62"/>
      <c r="C220" s="196"/>
      <c r="D220" s="196"/>
      <c r="E220" s="196"/>
      <c r="F220" s="62"/>
      <c r="G220" s="197"/>
      <c r="H220" s="62"/>
      <c r="I220" s="62"/>
      <c r="J220" s="62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</row>
    <row r="221" spans="1:51" x14ac:dyDescent="0.35">
      <c r="A221" s="62"/>
      <c r="B221" s="62"/>
      <c r="C221" s="196"/>
      <c r="D221" s="196"/>
      <c r="E221" s="196"/>
      <c r="F221" s="62"/>
      <c r="G221" s="197"/>
      <c r="H221" s="62"/>
      <c r="I221" s="62"/>
      <c r="J221" s="62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</row>
    <row r="222" spans="1:51" x14ac:dyDescent="0.35">
      <c r="A222" s="62"/>
      <c r="B222" s="62"/>
      <c r="C222" s="196"/>
      <c r="D222" s="196"/>
      <c r="E222" s="196"/>
      <c r="F222" s="62"/>
      <c r="G222" s="197"/>
      <c r="H222" s="62"/>
      <c r="I222" s="62"/>
      <c r="J222" s="62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</row>
    <row r="223" spans="1:51" x14ac:dyDescent="0.35">
      <c r="A223" s="62"/>
      <c r="B223" s="62"/>
      <c r="C223" s="196"/>
      <c r="D223" s="196"/>
      <c r="E223" s="196"/>
      <c r="F223" s="62"/>
      <c r="G223" s="197"/>
      <c r="H223" s="62"/>
      <c r="I223" s="62"/>
      <c r="J223" s="62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</row>
    <row r="224" spans="1:51" x14ac:dyDescent="0.35">
      <c r="A224" s="62"/>
      <c r="B224" s="62"/>
      <c r="C224" s="196"/>
      <c r="D224" s="196"/>
      <c r="E224" s="196"/>
      <c r="F224" s="62"/>
      <c r="G224" s="197"/>
      <c r="H224" s="62"/>
      <c r="I224" s="62"/>
      <c r="J224" s="62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</row>
    <row r="225" spans="1:51" x14ac:dyDescent="0.35">
      <c r="A225" s="62"/>
      <c r="B225" s="62"/>
      <c r="C225" s="196"/>
      <c r="D225" s="196"/>
      <c r="E225" s="196"/>
      <c r="F225" s="62"/>
      <c r="G225" s="197"/>
      <c r="H225" s="62"/>
      <c r="I225" s="62"/>
      <c r="J225" s="62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</row>
    <row r="226" spans="1:51" x14ac:dyDescent="0.35">
      <c r="A226" s="62"/>
      <c r="B226" s="62"/>
      <c r="C226" s="196"/>
      <c r="D226" s="196"/>
      <c r="E226" s="196"/>
      <c r="F226" s="62"/>
      <c r="G226" s="197"/>
      <c r="H226" s="62"/>
      <c r="I226" s="62"/>
      <c r="J226" s="62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</row>
    <row r="227" spans="1:51" x14ac:dyDescent="0.35">
      <c r="A227" s="62"/>
      <c r="B227" s="62"/>
      <c r="C227" s="196"/>
      <c r="D227" s="196"/>
      <c r="E227" s="196"/>
      <c r="F227" s="62"/>
      <c r="G227" s="197"/>
      <c r="H227" s="62"/>
      <c r="I227" s="62"/>
      <c r="J227" s="62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</row>
    <row r="228" spans="1:51" x14ac:dyDescent="0.35">
      <c r="A228" s="62"/>
      <c r="B228" s="62"/>
      <c r="C228" s="196"/>
      <c r="D228" s="196"/>
      <c r="E228" s="196"/>
      <c r="F228" s="62"/>
      <c r="G228" s="197"/>
      <c r="H228" s="62"/>
      <c r="I228" s="62"/>
      <c r="J228" s="62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</row>
    <row r="229" spans="1:51" x14ac:dyDescent="0.35">
      <c r="A229" s="62"/>
      <c r="B229" s="62"/>
      <c r="C229" s="196"/>
      <c r="D229" s="196"/>
      <c r="E229" s="196"/>
      <c r="F229" s="62"/>
      <c r="G229" s="197"/>
      <c r="H229" s="62"/>
      <c r="I229" s="62"/>
      <c r="J229" s="62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</row>
    <row r="230" spans="1:51" x14ac:dyDescent="0.35">
      <c r="A230" s="62"/>
      <c r="B230" s="62"/>
      <c r="C230" s="196"/>
      <c r="D230" s="196"/>
      <c r="E230" s="196"/>
      <c r="F230" s="62"/>
      <c r="G230" s="197"/>
      <c r="H230" s="62"/>
      <c r="I230" s="62"/>
      <c r="J230" s="62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</row>
    <row r="231" spans="1:51" x14ac:dyDescent="0.35">
      <c r="A231" s="62"/>
      <c r="B231" s="62"/>
      <c r="C231" s="196"/>
      <c r="D231" s="196"/>
      <c r="E231" s="196"/>
      <c r="F231" s="62"/>
      <c r="G231" s="197"/>
      <c r="H231" s="62"/>
      <c r="I231" s="62"/>
      <c r="J231" s="62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</row>
    <row r="232" spans="1:51" x14ac:dyDescent="0.35">
      <c r="A232" s="62"/>
      <c r="B232" s="62"/>
      <c r="C232" s="196"/>
      <c r="D232" s="196"/>
      <c r="E232" s="196"/>
      <c r="F232" s="62"/>
      <c r="G232" s="197"/>
      <c r="H232" s="62"/>
      <c r="I232" s="62"/>
      <c r="J232" s="62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</row>
    <row r="233" spans="1:51" x14ac:dyDescent="0.35">
      <c r="A233" s="62"/>
      <c r="B233" s="62"/>
      <c r="C233" s="196"/>
      <c r="D233" s="196"/>
      <c r="E233" s="196"/>
      <c r="F233" s="62"/>
      <c r="G233" s="197"/>
      <c r="H233" s="62"/>
      <c r="I233" s="62"/>
      <c r="J233" s="62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</row>
    <row r="234" spans="1:51" x14ac:dyDescent="0.35">
      <c r="A234" s="62"/>
      <c r="B234" s="62"/>
      <c r="C234" s="196"/>
      <c r="D234" s="196"/>
      <c r="E234" s="196"/>
      <c r="F234" s="62"/>
      <c r="G234" s="197"/>
      <c r="H234" s="62"/>
      <c r="I234" s="62"/>
      <c r="J234" s="62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</row>
    <row r="235" spans="1:51" x14ac:dyDescent="0.35">
      <c r="A235" s="62"/>
      <c r="B235" s="62"/>
      <c r="C235" s="196"/>
      <c r="D235" s="196"/>
      <c r="E235" s="196"/>
      <c r="F235" s="62"/>
      <c r="G235" s="197"/>
      <c r="H235" s="62"/>
      <c r="I235" s="62"/>
      <c r="J235" s="62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</row>
    <row r="236" spans="1:51" x14ac:dyDescent="0.35">
      <c r="A236" s="62"/>
      <c r="B236" s="62"/>
      <c r="C236" s="196"/>
      <c r="D236" s="196"/>
      <c r="E236" s="196"/>
      <c r="F236" s="62"/>
      <c r="G236" s="197"/>
      <c r="H236" s="62"/>
      <c r="I236" s="62"/>
      <c r="J236" s="62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</row>
    <row r="237" spans="1:51" x14ac:dyDescent="0.35">
      <c r="A237" s="62"/>
      <c r="B237" s="62"/>
      <c r="C237" s="196"/>
      <c r="D237" s="196"/>
      <c r="E237" s="196"/>
      <c r="F237" s="62"/>
      <c r="G237" s="197"/>
      <c r="H237" s="62"/>
      <c r="I237" s="62"/>
      <c r="J237" s="62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</row>
    <row r="238" spans="1:51" x14ac:dyDescent="0.35">
      <c r="A238" s="62"/>
      <c r="B238" s="62"/>
      <c r="C238" s="196"/>
      <c r="D238" s="196"/>
      <c r="E238" s="196"/>
      <c r="F238" s="62"/>
      <c r="G238" s="197"/>
      <c r="H238" s="62"/>
      <c r="I238" s="62"/>
      <c r="J238" s="62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</row>
    <row r="239" spans="1:51" x14ac:dyDescent="0.35">
      <c r="A239" s="62"/>
      <c r="B239" s="62"/>
      <c r="C239" s="196"/>
      <c r="D239" s="196"/>
      <c r="E239" s="196"/>
      <c r="F239" s="62"/>
      <c r="G239" s="197"/>
      <c r="H239" s="62"/>
      <c r="I239" s="62"/>
      <c r="J239" s="62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</row>
    <row r="240" spans="1:51" x14ac:dyDescent="0.35">
      <c r="A240" s="62"/>
      <c r="B240" s="62"/>
      <c r="C240" s="196"/>
      <c r="D240" s="196"/>
      <c r="E240" s="196"/>
      <c r="F240" s="62"/>
      <c r="G240" s="197"/>
      <c r="H240" s="62"/>
      <c r="I240" s="62"/>
      <c r="J240" s="62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</row>
    <row r="241" spans="1:51" x14ac:dyDescent="0.35">
      <c r="A241" s="62"/>
      <c r="B241" s="62"/>
      <c r="C241" s="196"/>
      <c r="D241" s="196"/>
      <c r="E241" s="196"/>
      <c r="F241" s="62"/>
      <c r="G241" s="197"/>
      <c r="H241" s="62"/>
      <c r="I241" s="62"/>
      <c r="J241" s="62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</row>
    <row r="242" spans="1:51" x14ac:dyDescent="0.35">
      <c r="A242" s="62"/>
      <c r="B242" s="62"/>
      <c r="C242" s="196"/>
      <c r="D242" s="196"/>
      <c r="E242" s="196"/>
      <c r="F242" s="62"/>
      <c r="G242" s="197"/>
      <c r="H242" s="62"/>
      <c r="I242" s="62"/>
      <c r="J242" s="62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</row>
    <row r="243" spans="1:51" x14ac:dyDescent="0.35">
      <c r="A243" s="62"/>
      <c r="B243" s="62"/>
      <c r="C243" s="196"/>
      <c r="D243" s="196"/>
      <c r="E243" s="196"/>
      <c r="F243" s="62"/>
      <c r="G243" s="197"/>
      <c r="H243" s="62"/>
      <c r="I243" s="62"/>
      <c r="J243" s="62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</row>
    <row r="244" spans="1:51" x14ac:dyDescent="0.35">
      <c r="A244" s="62"/>
      <c r="B244" s="62"/>
      <c r="C244" s="196"/>
      <c r="D244" s="196"/>
      <c r="E244" s="196"/>
      <c r="F244" s="62"/>
      <c r="G244" s="197"/>
      <c r="H244" s="62"/>
      <c r="I244" s="62"/>
      <c r="J244" s="62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</row>
    <row r="245" spans="1:51" x14ac:dyDescent="0.35">
      <c r="A245" s="62"/>
      <c r="B245" s="62"/>
      <c r="C245" s="196"/>
      <c r="D245" s="196"/>
      <c r="E245" s="196"/>
      <c r="F245" s="62"/>
      <c r="G245" s="197"/>
      <c r="H245" s="62"/>
      <c r="I245" s="62"/>
      <c r="J245" s="62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</row>
    <row r="246" spans="1:51" x14ac:dyDescent="0.35">
      <c r="A246" s="62"/>
      <c r="B246" s="62"/>
      <c r="C246" s="196"/>
      <c r="D246" s="196"/>
      <c r="E246" s="196"/>
      <c r="F246" s="62"/>
      <c r="G246" s="197"/>
      <c r="H246" s="62"/>
      <c r="I246" s="62"/>
      <c r="J246" s="62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</row>
    <row r="247" spans="1:51" x14ac:dyDescent="0.35">
      <c r="A247" s="62"/>
      <c r="B247" s="62"/>
      <c r="C247" s="196"/>
      <c r="D247" s="196"/>
      <c r="E247" s="196"/>
      <c r="F247" s="62"/>
      <c r="G247" s="197"/>
      <c r="H247" s="62"/>
      <c r="I247" s="62"/>
      <c r="J247" s="62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</row>
    <row r="248" spans="1:51" x14ac:dyDescent="0.35">
      <c r="A248" s="62"/>
      <c r="B248" s="62"/>
      <c r="C248" s="196"/>
      <c r="D248" s="196"/>
      <c r="E248" s="196"/>
      <c r="F248" s="62"/>
      <c r="G248" s="197"/>
      <c r="H248" s="62"/>
      <c r="I248" s="62"/>
      <c r="J248" s="62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</row>
    <row r="249" spans="1:51" x14ac:dyDescent="0.35">
      <c r="A249" s="62"/>
      <c r="B249" s="62"/>
      <c r="C249" s="196"/>
      <c r="D249" s="196"/>
      <c r="E249" s="196"/>
      <c r="F249" s="62"/>
      <c r="G249" s="197"/>
      <c r="H249" s="62"/>
      <c r="I249" s="62"/>
      <c r="J249" s="62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</row>
    <row r="250" spans="1:51" x14ac:dyDescent="0.35">
      <c r="A250" s="62"/>
      <c r="B250" s="62"/>
      <c r="C250" s="196"/>
      <c r="D250" s="196"/>
      <c r="E250" s="196"/>
      <c r="F250" s="62"/>
      <c r="G250" s="197"/>
      <c r="H250" s="62"/>
      <c r="I250" s="62"/>
      <c r="J250" s="62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</row>
    <row r="251" spans="1:51" x14ac:dyDescent="0.35">
      <c r="A251" s="62"/>
      <c r="B251" s="62"/>
      <c r="C251" s="196"/>
      <c r="D251" s="196"/>
      <c r="E251" s="196"/>
      <c r="F251" s="62"/>
      <c r="G251" s="197"/>
      <c r="H251" s="62"/>
      <c r="I251" s="62"/>
      <c r="J251" s="62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</row>
    <row r="252" spans="1:51" x14ac:dyDescent="0.35">
      <c r="A252" s="62"/>
      <c r="B252" s="62"/>
      <c r="C252" s="196"/>
      <c r="D252" s="196"/>
      <c r="E252" s="196"/>
      <c r="F252" s="62"/>
      <c r="G252" s="197"/>
      <c r="H252" s="62"/>
      <c r="I252" s="62"/>
      <c r="J252" s="62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</row>
    <row r="253" spans="1:51" x14ac:dyDescent="0.35">
      <c r="A253" s="62"/>
      <c r="B253" s="62"/>
      <c r="C253" s="196"/>
      <c r="D253" s="196"/>
      <c r="E253" s="196"/>
      <c r="F253" s="62"/>
      <c r="G253" s="197"/>
      <c r="H253" s="62"/>
      <c r="I253" s="62"/>
      <c r="J253" s="62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</row>
    <row r="254" spans="1:51" x14ac:dyDescent="0.35">
      <c r="A254" s="62"/>
      <c r="B254" s="62"/>
      <c r="C254" s="196"/>
      <c r="D254" s="196"/>
      <c r="E254" s="196"/>
      <c r="F254" s="62"/>
      <c r="G254" s="197"/>
      <c r="H254" s="62"/>
      <c r="I254" s="62"/>
      <c r="J254" s="62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</row>
    <row r="255" spans="1:51" x14ac:dyDescent="0.35">
      <c r="A255" s="62"/>
      <c r="B255" s="62"/>
      <c r="C255" s="196"/>
      <c r="D255" s="196"/>
      <c r="E255" s="196"/>
      <c r="F255" s="62"/>
      <c r="G255" s="197"/>
      <c r="H255" s="62"/>
      <c r="I255" s="62"/>
      <c r="J255" s="62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</row>
    <row r="256" spans="1:51" x14ac:dyDescent="0.35">
      <c r="A256" s="62"/>
      <c r="B256" s="62"/>
      <c r="C256" s="196"/>
      <c r="D256" s="196"/>
      <c r="E256" s="196"/>
      <c r="F256" s="62"/>
      <c r="G256" s="197"/>
      <c r="H256" s="62"/>
      <c r="I256" s="62"/>
      <c r="J256" s="62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</row>
    <row r="257" spans="1:51" x14ac:dyDescent="0.35">
      <c r="A257" s="62"/>
      <c r="B257" s="62"/>
      <c r="C257" s="196"/>
      <c r="D257" s="196"/>
      <c r="E257" s="196"/>
      <c r="F257" s="62"/>
      <c r="G257" s="197"/>
      <c r="H257" s="62"/>
      <c r="I257" s="62"/>
      <c r="J257" s="62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</row>
    <row r="258" spans="1:51" x14ac:dyDescent="0.35">
      <c r="A258" s="62"/>
      <c r="B258" s="62"/>
      <c r="C258" s="196"/>
      <c r="D258" s="196"/>
      <c r="E258" s="196"/>
      <c r="F258" s="62"/>
      <c r="G258" s="197"/>
      <c r="H258" s="62"/>
      <c r="I258" s="62"/>
      <c r="J258" s="62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</row>
    <row r="259" spans="1:51" x14ac:dyDescent="0.35">
      <c r="A259" s="62"/>
      <c r="B259" s="62"/>
      <c r="C259" s="196"/>
      <c r="D259" s="196"/>
      <c r="E259" s="196"/>
      <c r="F259" s="62"/>
      <c r="G259" s="197"/>
      <c r="H259" s="62"/>
      <c r="I259" s="62"/>
      <c r="J259" s="62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</row>
    <row r="260" spans="1:51" x14ac:dyDescent="0.35">
      <c r="A260" s="62"/>
      <c r="B260" s="62"/>
      <c r="C260" s="196"/>
      <c r="D260" s="196"/>
      <c r="E260" s="196"/>
      <c r="F260" s="62"/>
      <c r="G260" s="197"/>
      <c r="H260" s="62"/>
      <c r="I260" s="62"/>
      <c r="J260" s="62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</row>
    <row r="261" spans="1:51" x14ac:dyDescent="0.35">
      <c r="A261" s="62"/>
      <c r="B261" s="62"/>
      <c r="C261" s="196"/>
      <c r="D261" s="196"/>
      <c r="E261" s="196"/>
      <c r="F261" s="62"/>
      <c r="G261" s="197"/>
      <c r="H261" s="62"/>
      <c r="I261" s="62"/>
      <c r="J261" s="62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</row>
    <row r="262" spans="1:51" x14ac:dyDescent="0.35">
      <c r="A262" s="62"/>
      <c r="B262" s="62"/>
      <c r="C262" s="196"/>
      <c r="D262" s="196"/>
      <c r="E262" s="196"/>
      <c r="F262" s="62"/>
      <c r="G262" s="197"/>
      <c r="H262" s="62"/>
      <c r="I262" s="62"/>
      <c r="J262" s="62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</row>
    <row r="263" spans="1:51" x14ac:dyDescent="0.35">
      <c r="A263" s="62"/>
      <c r="B263" s="62"/>
      <c r="C263" s="196"/>
      <c r="D263" s="196"/>
      <c r="E263" s="196"/>
      <c r="F263" s="62"/>
      <c r="G263" s="197"/>
      <c r="H263" s="62"/>
      <c r="I263" s="62"/>
      <c r="J263" s="62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</row>
    <row r="264" spans="1:51" x14ac:dyDescent="0.35">
      <c r="A264" s="62"/>
      <c r="B264" s="62"/>
      <c r="C264" s="196"/>
      <c r="D264" s="196"/>
      <c r="E264" s="196"/>
      <c r="F264" s="62"/>
      <c r="G264" s="197"/>
      <c r="H264" s="62"/>
      <c r="I264" s="62"/>
      <c r="J264" s="62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</row>
    <row r="265" spans="1:51" x14ac:dyDescent="0.35">
      <c r="A265" s="62"/>
      <c r="B265" s="62"/>
      <c r="C265" s="196"/>
      <c r="D265" s="196"/>
      <c r="E265" s="196"/>
      <c r="F265" s="62"/>
      <c r="G265" s="197"/>
      <c r="H265" s="62"/>
      <c r="I265" s="62"/>
      <c r="J265" s="62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</row>
    <row r="266" spans="1:51" x14ac:dyDescent="0.35">
      <c r="A266" s="62"/>
      <c r="B266" s="62"/>
      <c r="C266" s="196"/>
      <c r="D266" s="196"/>
      <c r="E266" s="196"/>
      <c r="F266" s="62"/>
      <c r="G266" s="197"/>
      <c r="H266" s="62"/>
      <c r="I266" s="62"/>
      <c r="J266" s="62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</row>
    <row r="267" spans="1:51" x14ac:dyDescent="0.35">
      <c r="A267" s="62"/>
      <c r="B267" s="62"/>
      <c r="C267" s="196"/>
      <c r="D267" s="196"/>
      <c r="E267" s="196"/>
      <c r="F267" s="62"/>
      <c r="G267" s="197"/>
      <c r="H267" s="62"/>
      <c r="I267" s="62"/>
      <c r="J267" s="62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</row>
    <row r="268" spans="1:51" x14ac:dyDescent="0.35">
      <c r="A268" s="62"/>
      <c r="B268" s="62"/>
      <c r="C268" s="196"/>
      <c r="D268" s="196"/>
      <c r="E268" s="196"/>
      <c r="F268" s="62"/>
      <c r="G268" s="197"/>
      <c r="H268" s="62"/>
      <c r="I268" s="62"/>
      <c r="J268" s="62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</row>
    <row r="269" spans="1:51" x14ac:dyDescent="0.35">
      <c r="A269" s="62"/>
      <c r="B269" s="62"/>
      <c r="C269" s="196"/>
      <c r="D269" s="196"/>
      <c r="E269" s="196"/>
      <c r="F269" s="62"/>
      <c r="G269" s="197"/>
      <c r="H269" s="62"/>
      <c r="I269" s="62"/>
      <c r="J269" s="62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</row>
    <row r="270" spans="1:51" x14ac:dyDescent="0.35">
      <c r="A270" s="62"/>
      <c r="B270" s="62"/>
      <c r="C270" s="196"/>
      <c r="D270" s="196"/>
      <c r="E270" s="196"/>
      <c r="F270" s="62"/>
      <c r="G270" s="197"/>
      <c r="H270" s="62"/>
      <c r="I270" s="62"/>
      <c r="J270" s="62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</row>
    <row r="271" spans="1:51" x14ac:dyDescent="0.35">
      <c r="A271" s="62"/>
      <c r="B271" s="62"/>
      <c r="C271" s="196"/>
      <c r="D271" s="196"/>
      <c r="E271" s="196"/>
      <c r="F271" s="62"/>
      <c r="G271" s="197"/>
      <c r="H271" s="62"/>
      <c r="I271" s="62"/>
      <c r="J271" s="62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</row>
    <row r="272" spans="1:51" x14ac:dyDescent="0.35">
      <c r="A272" s="62"/>
      <c r="B272" s="62"/>
      <c r="C272" s="196"/>
      <c r="D272" s="196"/>
      <c r="E272" s="196"/>
      <c r="F272" s="62"/>
      <c r="G272" s="197"/>
      <c r="H272" s="62"/>
      <c r="I272" s="62"/>
      <c r="J272" s="62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</row>
    <row r="273" spans="1:51" x14ac:dyDescent="0.35">
      <c r="A273" s="62"/>
      <c r="B273" s="62"/>
      <c r="C273" s="196"/>
      <c r="D273" s="196"/>
      <c r="E273" s="196"/>
      <c r="F273" s="62"/>
      <c r="G273" s="197"/>
      <c r="H273" s="62"/>
      <c r="I273" s="62"/>
      <c r="J273" s="62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</row>
    <row r="274" spans="1:51" x14ac:dyDescent="0.35">
      <c r="A274" s="62"/>
      <c r="B274" s="62"/>
      <c r="C274" s="196"/>
      <c r="D274" s="196"/>
      <c r="E274" s="196"/>
      <c r="F274" s="62"/>
      <c r="G274" s="197"/>
      <c r="H274" s="62"/>
      <c r="I274" s="62"/>
      <c r="J274" s="62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</row>
    <row r="275" spans="1:51" x14ac:dyDescent="0.35">
      <c r="A275" s="62"/>
      <c r="B275" s="62"/>
      <c r="C275" s="196"/>
      <c r="D275" s="196"/>
      <c r="E275" s="196"/>
      <c r="F275" s="62"/>
      <c r="G275" s="197"/>
      <c r="H275" s="62"/>
      <c r="I275" s="62"/>
      <c r="J275" s="62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</row>
    <row r="276" spans="1:51" x14ac:dyDescent="0.35">
      <c r="A276" s="62"/>
      <c r="B276" s="62"/>
      <c r="C276" s="196"/>
      <c r="D276" s="196"/>
      <c r="E276" s="196"/>
      <c r="F276" s="62"/>
      <c r="G276" s="197"/>
      <c r="H276" s="62"/>
      <c r="I276" s="62"/>
      <c r="J276" s="62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</row>
    <row r="277" spans="1:51" x14ac:dyDescent="0.35">
      <c r="A277" s="62"/>
      <c r="B277" s="62"/>
      <c r="C277" s="196"/>
      <c r="D277" s="196"/>
      <c r="E277" s="196"/>
      <c r="F277" s="62"/>
      <c r="G277" s="197"/>
      <c r="H277" s="62"/>
      <c r="I277" s="62"/>
      <c r="J277" s="62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</row>
    <row r="278" spans="1:51" x14ac:dyDescent="0.35">
      <c r="A278" s="62"/>
      <c r="B278" s="62"/>
      <c r="C278" s="196"/>
      <c r="D278" s="196"/>
      <c r="E278" s="196"/>
      <c r="F278" s="62"/>
      <c r="G278" s="197"/>
      <c r="H278" s="62"/>
      <c r="I278" s="62"/>
      <c r="J278" s="62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</row>
    <row r="279" spans="1:51" x14ac:dyDescent="0.35">
      <c r="A279" s="62"/>
      <c r="B279" s="62"/>
      <c r="C279" s="196"/>
      <c r="D279" s="196"/>
      <c r="E279" s="196"/>
      <c r="F279" s="62"/>
      <c r="G279" s="197"/>
      <c r="H279" s="62"/>
      <c r="I279" s="62"/>
      <c r="J279" s="62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</row>
    <row r="280" spans="1:51" x14ac:dyDescent="0.35">
      <c r="A280" s="62"/>
      <c r="B280" s="62"/>
      <c r="C280" s="196"/>
      <c r="D280" s="196"/>
      <c r="E280" s="196"/>
      <c r="F280" s="62"/>
      <c r="G280" s="197"/>
      <c r="H280" s="62"/>
      <c r="I280" s="62"/>
      <c r="J280" s="62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</row>
    <row r="281" spans="1:51" x14ac:dyDescent="0.35">
      <c r="A281" s="62"/>
      <c r="B281" s="62"/>
      <c r="C281" s="196"/>
      <c r="D281" s="196"/>
      <c r="E281" s="196"/>
      <c r="F281" s="62"/>
      <c r="G281" s="197"/>
      <c r="H281" s="62"/>
      <c r="I281" s="62"/>
      <c r="J281" s="62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</row>
    <row r="282" spans="1:51" x14ac:dyDescent="0.35">
      <c r="A282" s="62"/>
      <c r="B282" s="62"/>
      <c r="C282" s="196"/>
      <c r="D282" s="196"/>
      <c r="E282" s="196"/>
      <c r="F282" s="62"/>
      <c r="G282" s="197"/>
      <c r="H282" s="62"/>
      <c r="I282" s="62"/>
      <c r="J282" s="62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</row>
    <row r="283" spans="1:51" x14ac:dyDescent="0.35">
      <c r="A283" s="62"/>
      <c r="B283" s="62"/>
      <c r="C283" s="196"/>
      <c r="D283" s="196"/>
      <c r="E283" s="196"/>
      <c r="F283" s="62"/>
      <c r="G283" s="197"/>
      <c r="H283" s="62"/>
      <c r="I283" s="62"/>
      <c r="J283" s="62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</row>
    <row r="284" spans="1:51" x14ac:dyDescent="0.35">
      <c r="A284" s="62"/>
      <c r="B284" s="62"/>
      <c r="C284" s="196"/>
      <c r="D284" s="196"/>
      <c r="E284" s="196"/>
      <c r="F284" s="62"/>
      <c r="G284" s="197"/>
      <c r="H284" s="62"/>
      <c r="I284" s="62"/>
      <c r="J284" s="62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</row>
    <row r="285" spans="1:51" x14ac:dyDescent="0.35">
      <c r="A285" s="62"/>
      <c r="B285" s="62"/>
      <c r="C285" s="196"/>
      <c r="D285" s="196"/>
      <c r="E285" s="196"/>
      <c r="F285" s="62"/>
      <c r="G285" s="197"/>
      <c r="H285" s="62"/>
      <c r="I285" s="62"/>
      <c r="J285" s="62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</row>
    <row r="286" spans="1:51" x14ac:dyDescent="0.35">
      <c r="A286" s="62"/>
      <c r="B286" s="62"/>
      <c r="C286" s="196"/>
      <c r="D286" s="196"/>
      <c r="E286" s="196"/>
      <c r="F286" s="62"/>
      <c r="G286" s="197"/>
      <c r="H286" s="62"/>
      <c r="I286" s="62"/>
      <c r="J286" s="62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</row>
    <row r="287" spans="1:51" x14ac:dyDescent="0.35">
      <c r="A287" s="62"/>
      <c r="B287" s="62"/>
      <c r="C287" s="196"/>
      <c r="D287" s="196"/>
      <c r="E287" s="196"/>
      <c r="F287" s="62"/>
      <c r="G287" s="197"/>
      <c r="H287" s="62"/>
      <c r="I287" s="62"/>
      <c r="J287" s="62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</row>
    <row r="288" spans="1:51" x14ac:dyDescent="0.35">
      <c r="A288" s="62"/>
      <c r="B288" s="62"/>
      <c r="C288" s="196"/>
      <c r="D288" s="196"/>
      <c r="E288" s="196"/>
      <c r="F288" s="62"/>
      <c r="G288" s="197"/>
      <c r="H288" s="62"/>
      <c r="I288" s="62"/>
      <c r="J288" s="62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</row>
    <row r="289" spans="1:51" x14ac:dyDescent="0.35">
      <c r="A289" s="62"/>
      <c r="B289" s="62"/>
      <c r="C289" s="196"/>
      <c r="D289" s="196"/>
      <c r="E289" s="196"/>
      <c r="F289" s="62"/>
      <c r="G289" s="197"/>
      <c r="H289" s="62"/>
      <c r="I289" s="62"/>
      <c r="J289" s="62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</row>
    <row r="290" spans="1:51" x14ac:dyDescent="0.35">
      <c r="A290" s="62"/>
      <c r="B290" s="62"/>
      <c r="C290" s="196"/>
      <c r="D290" s="196"/>
      <c r="E290" s="196"/>
      <c r="F290" s="62"/>
      <c r="G290" s="197"/>
      <c r="H290" s="62"/>
      <c r="I290" s="62"/>
      <c r="J290" s="62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</row>
    <row r="291" spans="1:51" x14ac:dyDescent="0.35">
      <c r="A291" s="62"/>
      <c r="B291" s="62"/>
      <c r="C291" s="196"/>
      <c r="D291" s="196"/>
      <c r="E291" s="196"/>
      <c r="F291" s="62"/>
      <c r="G291" s="197"/>
      <c r="H291" s="62"/>
      <c r="I291" s="62"/>
      <c r="J291" s="62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</row>
    <row r="292" spans="1:51" x14ac:dyDescent="0.35">
      <c r="A292" s="62"/>
      <c r="B292" s="62"/>
      <c r="C292" s="196"/>
      <c r="D292" s="196"/>
      <c r="E292" s="196"/>
      <c r="F292" s="62"/>
      <c r="G292" s="197"/>
      <c r="H292" s="62"/>
      <c r="I292" s="62"/>
      <c r="J292" s="62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</row>
    <row r="293" spans="1:51" x14ac:dyDescent="0.35">
      <c r="A293" s="62"/>
      <c r="B293" s="62"/>
      <c r="C293" s="196"/>
      <c r="D293" s="196"/>
      <c r="E293" s="196"/>
      <c r="F293" s="62"/>
      <c r="G293" s="197"/>
      <c r="H293" s="62"/>
      <c r="I293" s="62"/>
      <c r="J293" s="62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</row>
    <row r="294" spans="1:51" x14ac:dyDescent="0.35">
      <c r="A294" s="62"/>
      <c r="B294" s="62"/>
      <c r="C294" s="196"/>
      <c r="D294" s="196"/>
      <c r="E294" s="196"/>
      <c r="F294" s="62"/>
      <c r="G294" s="197"/>
      <c r="H294" s="62"/>
      <c r="I294" s="62"/>
      <c r="J294" s="62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</row>
    <row r="295" spans="1:51" x14ac:dyDescent="0.35">
      <c r="A295" s="62"/>
      <c r="B295" s="62"/>
      <c r="C295" s="196"/>
      <c r="D295" s="196"/>
      <c r="E295" s="196"/>
      <c r="F295" s="62"/>
      <c r="G295" s="197"/>
      <c r="H295" s="62"/>
      <c r="I295" s="62"/>
      <c r="J295" s="62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</row>
    <row r="296" spans="1:51" x14ac:dyDescent="0.35">
      <c r="A296" s="62"/>
      <c r="B296" s="62"/>
      <c r="C296" s="196"/>
      <c r="D296" s="196"/>
      <c r="E296" s="196"/>
      <c r="F296" s="62"/>
      <c r="G296" s="197"/>
      <c r="H296" s="62"/>
      <c r="I296" s="62"/>
      <c r="J296" s="62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</row>
    <row r="297" spans="1:51" x14ac:dyDescent="0.35">
      <c r="A297" s="62"/>
      <c r="B297" s="62"/>
      <c r="C297" s="196"/>
      <c r="D297" s="196"/>
      <c r="E297" s="196"/>
      <c r="F297" s="62"/>
      <c r="G297" s="197"/>
      <c r="H297" s="62"/>
      <c r="I297" s="62"/>
      <c r="J297" s="62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</row>
    <row r="298" spans="1:51" x14ac:dyDescent="0.35">
      <c r="A298" s="62"/>
      <c r="B298" s="62"/>
      <c r="C298" s="196"/>
      <c r="D298" s="196"/>
      <c r="E298" s="196"/>
      <c r="F298" s="62"/>
      <c r="G298" s="197"/>
      <c r="H298" s="62"/>
      <c r="I298" s="62"/>
      <c r="J298" s="62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</row>
    <row r="299" spans="1:51" x14ac:dyDescent="0.35">
      <c r="A299" s="62"/>
      <c r="B299" s="62"/>
      <c r="C299" s="196"/>
      <c r="D299" s="196"/>
      <c r="E299" s="196"/>
      <c r="F299" s="62"/>
      <c r="G299" s="197"/>
      <c r="H299" s="62"/>
      <c r="I299" s="62"/>
      <c r="J299" s="62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</row>
    <row r="300" spans="1:51" x14ac:dyDescent="0.35">
      <c r="A300" s="62"/>
      <c r="B300" s="62"/>
      <c r="C300" s="196"/>
      <c r="D300" s="196"/>
      <c r="E300" s="196"/>
      <c r="F300" s="62"/>
      <c r="G300" s="197"/>
      <c r="H300" s="62"/>
      <c r="I300" s="62"/>
      <c r="J300" s="62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</row>
    <row r="301" spans="1:51" x14ac:dyDescent="0.35">
      <c r="A301" s="62"/>
      <c r="B301" s="62"/>
      <c r="C301" s="196"/>
      <c r="D301" s="196"/>
      <c r="E301" s="196"/>
      <c r="F301" s="62"/>
      <c r="G301" s="197"/>
      <c r="H301" s="62"/>
      <c r="I301" s="62"/>
      <c r="J301" s="62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</row>
    <row r="302" spans="1:51" x14ac:dyDescent="0.35">
      <c r="A302" s="62"/>
      <c r="B302" s="62"/>
      <c r="C302" s="196"/>
      <c r="D302" s="196"/>
      <c r="E302" s="196"/>
      <c r="F302" s="62"/>
      <c r="G302" s="197"/>
      <c r="H302" s="62"/>
      <c r="I302" s="62"/>
      <c r="J302" s="62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</row>
    <row r="303" spans="1:51" x14ac:dyDescent="0.35">
      <c r="A303" s="62"/>
      <c r="B303" s="62"/>
      <c r="C303" s="196"/>
      <c r="D303" s="196"/>
      <c r="E303" s="196"/>
      <c r="F303" s="62"/>
      <c r="G303" s="197"/>
      <c r="H303" s="62"/>
      <c r="I303" s="62"/>
      <c r="J303" s="62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</row>
    <row r="304" spans="1:51" x14ac:dyDescent="0.35">
      <c r="A304" s="62"/>
      <c r="B304" s="62"/>
      <c r="C304" s="196"/>
      <c r="D304" s="196"/>
      <c r="E304" s="196"/>
      <c r="F304" s="62"/>
      <c r="G304" s="197"/>
      <c r="H304" s="62"/>
      <c r="I304" s="62"/>
      <c r="J304" s="62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</row>
    <row r="305" spans="1:51" x14ac:dyDescent="0.35">
      <c r="A305" s="62"/>
      <c r="B305" s="62"/>
      <c r="C305" s="196"/>
      <c r="D305" s="196"/>
      <c r="E305" s="196"/>
      <c r="F305" s="62"/>
      <c r="G305" s="197"/>
      <c r="H305" s="62"/>
      <c r="I305" s="62"/>
      <c r="J305" s="62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</row>
    <row r="306" spans="1:51" x14ac:dyDescent="0.35">
      <c r="A306" s="62"/>
      <c r="B306" s="62"/>
      <c r="C306" s="196"/>
      <c r="D306" s="196"/>
      <c r="E306" s="196"/>
      <c r="F306" s="62"/>
      <c r="G306" s="197"/>
      <c r="H306" s="62"/>
      <c r="I306" s="62"/>
      <c r="J306" s="62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</row>
    <row r="307" spans="1:51" x14ac:dyDescent="0.35">
      <c r="A307" s="62"/>
      <c r="B307" s="62"/>
      <c r="C307" s="196"/>
      <c r="D307" s="196"/>
      <c r="E307" s="196"/>
      <c r="F307" s="62"/>
      <c r="G307" s="197"/>
      <c r="H307" s="62"/>
      <c r="I307" s="62"/>
      <c r="J307" s="62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</row>
    <row r="308" spans="1:51" x14ac:dyDescent="0.35">
      <c r="A308" s="62"/>
      <c r="B308" s="62"/>
      <c r="C308" s="196"/>
      <c r="D308" s="196"/>
      <c r="E308" s="196"/>
      <c r="F308" s="62"/>
      <c r="G308" s="197"/>
      <c r="H308" s="62"/>
      <c r="I308" s="62"/>
      <c r="J308" s="62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</row>
    <row r="309" spans="1:51" x14ac:dyDescent="0.35">
      <c r="A309" s="62"/>
      <c r="B309" s="62"/>
      <c r="C309" s="196"/>
      <c r="D309" s="196"/>
      <c r="E309" s="196"/>
      <c r="F309" s="62"/>
      <c r="G309" s="197"/>
      <c r="H309" s="62"/>
      <c r="I309" s="62"/>
      <c r="J309" s="62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</row>
    <row r="310" spans="1:51" x14ac:dyDescent="0.35">
      <c r="A310" s="62"/>
      <c r="B310" s="62"/>
      <c r="C310" s="196"/>
      <c r="D310" s="196"/>
      <c r="E310" s="196"/>
      <c r="F310" s="62"/>
      <c r="G310" s="197"/>
      <c r="H310" s="62"/>
      <c r="I310" s="62"/>
      <c r="J310" s="62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</row>
    <row r="311" spans="1:51" x14ac:dyDescent="0.35">
      <c r="A311" s="62"/>
      <c r="B311" s="62"/>
      <c r="C311" s="196"/>
      <c r="D311" s="196"/>
      <c r="E311" s="196"/>
      <c r="F311" s="62"/>
      <c r="G311" s="197"/>
      <c r="H311" s="62"/>
      <c r="I311" s="62"/>
      <c r="J311" s="62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</row>
    <row r="312" spans="1:51" x14ac:dyDescent="0.35">
      <c r="A312" s="62"/>
      <c r="B312" s="62"/>
      <c r="C312" s="196"/>
      <c r="D312" s="196"/>
      <c r="E312" s="196"/>
      <c r="F312" s="62"/>
      <c r="G312" s="197"/>
      <c r="H312" s="62"/>
      <c r="I312" s="62"/>
      <c r="J312" s="62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</row>
    <row r="313" spans="1:51" x14ac:dyDescent="0.35">
      <c r="A313" s="62"/>
      <c r="B313" s="62"/>
      <c r="C313" s="196"/>
      <c r="D313" s="196"/>
      <c r="E313" s="196"/>
      <c r="F313" s="62"/>
      <c r="G313" s="197"/>
      <c r="H313" s="62"/>
      <c r="I313" s="62"/>
      <c r="J313" s="62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</row>
    <row r="314" spans="1:51" x14ac:dyDescent="0.35">
      <c r="A314" s="62"/>
      <c r="B314" s="62"/>
      <c r="C314" s="196"/>
      <c r="D314" s="196"/>
      <c r="E314" s="196"/>
      <c r="F314" s="62"/>
      <c r="G314" s="197"/>
      <c r="H314" s="62"/>
      <c r="I314" s="62"/>
      <c r="J314" s="62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</row>
    <row r="315" spans="1:51" x14ac:dyDescent="0.35">
      <c r="A315" s="62"/>
      <c r="B315" s="62"/>
      <c r="C315" s="196"/>
      <c r="D315" s="196"/>
      <c r="E315" s="196"/>
      <c r="F315" s="62"/>
      <c r="G315" s="197"/>
      <c r="H315" s="62"/>
      <c r="I315" s="62"/>
      <c r="J315" s="62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</row>
    <row r="316" spans="1:51" x14ac:dyDescent="0.35">
      <c r="A316" s="62"/>
      <c r="B316" s="62"/>
      <c r="C316" s="196"/>
      <c r="D316" s="196"/>
      <c r="E316" s="196"/>
      <c r="F316" s="62"/>
      <c r="G316" s="197"/>
      <c r="H316" s="62"/>
      <c r="I316" s="62"/>
      <c r="J316" s="62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</row>
    <row r="317" spans="1:51" x14ac:dyDescent="0.35">
      <c r="A317" s="62"/>
      <c r="B317" s="62"/>
      <c r="C317" s="196"/>
      <c r="D317" s="196"/>
      <c r="E317" s="196"/>
      <c r="F317" s="62"/>
      <c r="G317" s="197"/>
      <c r="H317" s="62"/>
      <c r="I317" s="62"/>
      <c r="J317" s="62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</row>
    <row r="318" spans="1:51" x14ac:dyDescent="0.35">
      <c r="A318" s="62"/>
      <c r="B318" s="62"/>
      <c r="C318" s="196"/>
      <c r="D318" s="196"/>
      <c r="E318" s="196"/>
      <c r="F318" s="62"/>
      <c r="G318" s="197"/>
      <c r="H318" s="62"/>
      <c r="I318" s="62"/>
      <c r="J318" s="62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</row>
    <row r="319" spans="1:51" x14ac:dyDescent="0.35">
      <c r="A319" s="62"/>
      <c r="B319" s="62"/>
      <c r="C319" s="196"/>
      <c r="D319" s="196"/>
      <c r="E319" s="196"/>
      <c r="F319" s="62"/>
      <c r="G319" s="197"/>
      <c r="H319" s="62"/>
      <c r="I319" s="62"/>
      <c r="J319" s="62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</row>
    <row r="320" spans="1:51" x14ac:dyDescent="0.35">
      <c r="A320" s="62"/>
      <c r="B320" s="62"/>
      <c r="C320" s="196"/>
      <c r="D320" s="196"/>
      <c r="E320" s="196"/>
      <c r="F320" s="62"/>
      <c r="G320" s="197"/>
      <c r="H320" s="62"/>
      <c r="I320" s="62"/>
      <c r="J320" s="62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</row>
    <row r="321" spans="1:51" x14ac:dyDescent="0.35">
      <c r="A321" s="62"/>
      <c r="B321" s="62"/>
      <c r="C321" s="196"/>
      <c r="D321" s="196"/>
      <c r="E321" s="196"/>
      <c r="F321" s="62"/>
      <c r="G321" s="197"/>
      <c r="H321" s="62"/>
      <c r="I321" s="62"/>
      <c r="J321" s="62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</row>
    <row r="322" spans="1:51" x14ac:dyDescent="0.35">
      <c r="A322" s="62"/>
      <c r="B322" s="62"/>
      <c r="C322" s="196"/>
      <c r="D322" s="196"/>
      <c r="E322" s="196"/>
      <c r="F322" s="62"/>
      <c r="G322" s="197"/>
      <c r="H322" s="62"/>
      <c r="I322" s="62"/>
      <c r="J322" s="62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</row>
    <row r="323" spans="1:51" x14ac:dyDescent="0.35">
      <c r="A323" s="62"/>
      <c r="B323" s="62"/>
      <c r="C323" s="196"/>
      <c r="D323" s="196"/>
      <c r="E323" s="196"/>
      <c r="F323" s="62"/>
      <c r="G323" s="197"/>
      <c r="H323" s="62"/>
      <c r="I323" s="62"/>
      <c r="J323" s="62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</row>
    <row r="324" spans="1:51" x14ac:dyDescent="0.35">
      <c r="A324" s="62"/>
      <c r="B324" s="62"/>
      <c r="C324" s="196"/>
      <c r="D324" s="196"/>
      <c r="E324" s="196"/>
      <c r="F324" s="62"/>
      <c r="G324" s="197"/>
      <c r="H324" s="62"/>
      <c r="I324" s="62"/>
      <c r="J324" s="62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</row>
    <row r="325" spans="1:51" x14ac:dyDescent="0.35">
      <c r="A325" s="62"/>
      <c r="B325" s="62"/>
      <c r="C325" s="196"/>
      <c r="D325" s="196"/>
      <c r="E325" s="196"/>
      <c r="F325" s="62"/>
      <c r="G325" s="197"/>
      <c r="H325" s="62"/>
      <c r="I325" s="62"/>
      <c r="J325" s="62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</row>
    <row r="326" spans="1:51" x14ac:dyDescent="0.35">
      <c r="A326" s="62"/>
      <c r="B326" s="62"/>
      <c r="C326" s="196"/>
      <c r="D326" s="196"/>
      <c r="E326" s="196"/>
      <c r="F326" s="62"/>
      <c r="G326" s="197"/>
      <c r="H326" s="62"/>
      <c r="I326" s="62"/>
      <c r="J326" s="62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</row>
    <row r="327" spans="1:51" x14ac:dyDescent="0.35">
      <c r="A327" s="62"/>
      <c r="B327" s="62"/>
      <c r="C327" s="196"/>
      <c r="D327" s="196"/>
      <c r="E327" s="196"/>
      <c r="F327" s="62"/>
      <c r="G327" s="197"/>
      <c r="H327" s="62"/>
      <c r="I327" s="62"/>
      <c r="J327" s="62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</row>
    <row r="328" spans="1:51" x14ac:dyDescent="0.35">
      <c r="A328" s="62"/>
      <c r="B328" s="62"/>
      <c r="C328" s="196"/>
      <c r="D328" s="196"/>
      <c r="E328" s="196"/>
      <c r="F328" s="62"/>
      <c r="G328" s="197"/>
      <c r="H328" s="62"/>
      <c r="I328" s="62"/>
      <c r="J328" s="62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</row>
    <row r="329" spans="1:51" x14ac:dyDescent="0.35">
      <c r="A329" s="62"/>
      <c r="B329" s="62"/>
      <c r="C329" s="196"/>
      <c r="D329" s="196"/>
      <c r="E329" s="196"/>
      <c r="F329" s="62"/>
      <c r="G329" s="197"/>
      <c r="H329" s="62"/>
      <c r="I329" s="62"/>
      <c r="J329" s="62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</row>
    <row r="330" spans="1:51" x14ac:dyDescent="0.35">
      <c r="A330" s="62"/>
      <c r="B330" s="62"/>
      <c r="C330" s="196"/>
      <c r="D330" s="196"/>
      <c r="E330" s="196"/>
      <c r="F330" s="62"/>
      <c r="G330" s="197"/>
      <c r="H330" s="62"/>
      <c r="I330" s="62"/>
      <c r="J330" s="62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</row>
    <row r="331" spans="1:51" x14ac:dyDescent="0.35">
      <c r="A331" s="62"/>
      <c r="B331" s="62"/>
      <c r="C331" s="196"/>
      <c r="D331" s="196"/>
      <c r="E331" s="196"/>
      <c r="F331" s="62"/>
      <c r="G331" s="197"/>
      <c r="H331" s="62"/>
      <c r="I331" s="62"/>
      <c r="J331" s="62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</row>
    <row r="332" spans="1:51" x14ac:dyDescent="0.35">
      <c r="A332" s="62"/>
      <c r="B332" s="62"/>
      <c r="C332" s="196"/>
      <c r="D332" s="196"/>
      <c r="E332" s="196"/>
      <c r="F332" s="62"/>
      <c r="G332" s="197"/>
      <c r="H332" s="62"/>
      <c r="I332" s="62"/>
      <c r="J332" s="62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</row>
    <row r="333" spans="1:51" x14ac:dyDescent="0.35">
      <c r="A333" s="62"/>
      <c r="B333" s="62"/>
      <c r="C333" s="196"/>
      <c r="D333" s="196"/>
      <c r="E333" s="196"/>
      <c r="F333" s="62"/>
      <c r="G333" s="197"/>
      <c r="H333" s="62"/>
      <c r="I333" s="62"/>
      <c r="J333" s="62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</row>
    <row r="334" spans="1:51" x14ac:dyDescent="0.35">
      <c r="A334" s="62"/>
      <c r="B334" s="62"/>
      <c r="C334" s="196"/>
      <c r="D334" s="196"/>
      <c r="E334" s="196"/>
      <c r="F334" s="62"/>
      <c r="G334" s="197"/>
      <c r="H334" s="62"/>
      <c r="I334" s="62"/>
      <c r="J334" s="62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</row>
    <row r="335" spans="1:51" x14ac:dyDescent="0.35">
      <c r="A335" s="62"/>
      <c r="B335" s="62"/>
      <c r="C335" s="196"/>
      <c r="D335" s="196"/>
      <c r="E335" s="196"/>
      <c r="F335" s="62"/>
      <c r="G335" s="197"/>
      <c r="H335" s="62"/>
      <c r="I335" s="62"/>
      <c r="J335" s="62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</row>
    <row r="336" spans="1:51" x14ac:dyDescent="0.35">
      <c r="A336" s="62"/>
      <c r="B336" s="62"/>
      <c r="C336" s="196"/>
      <c r="D336" s="196"/>
      <c r="E336" s="196"/>
      <c r="F336" s="62"/>
      <c r="G336" s="197"/>
      <c r="H336" s="62"/>
      <c r="I336" s="62"/>
      <c r="J336" s="62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</row>
    <row r="337" spans="1:51" x14ac:dyDescent="0.35">
      <c r="A337" s="62"/>
      <c r="B337" s="62"/>
      <c r="C337" s="196"/>
      <c r="D337" s="196"/>
      <c r="E337" s="196"/>
      <c r="F337" s="62"/>
      <c r="G337" s="197"/>
      <c r="H337" s="62"/>
      <c r="I337" s="62"/>
      <c r="J337" s="62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</row>
    <row r="338" spans="1:51" x14ac:dyDescent="0.35">
      <c r="A338" s="62"/>
      <c r="B338" s="62"/>
      <c r="C338" s="196"/>
      <c r="D338" s="196"/>
      <c r="E338" s="196"/>
      <c r="F338" s="62"/>
      <c r="G338" s="197"/>
      <c r="H338" s="62"/>
      <c r="I338" s="62"/>
      <c r="J338" s="62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</row>
    <row r="339" spans="1:51" x14ac:dyDescent="0.35">
      <c r="A339" s="62"/>
      <c r="B339" s="62"/>
      <c r="C339" s="196"/>
      <c r="D339" s="196"/>
      <c r="E339" s="196"/>
      <c r="F339" s="62"/>
      <c r="G339" s="197"/>
      <c r="H339" s="62"/>
      <c r="I339" s="62"/>
      <c r="J339" s="62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</row>
    <row r="340" spans="1:51" x14ac:dyDescent="0.35">
      <c r="A340" s="62"/>
      <c r="B340" s="62"/>
      <c r="C340" s="196"/>
      <c r="D340" s="196"/>
      <c r="E340" s="196"/>
      <c r="F340" s="62"/>
      <c r="G340" s="197"/>
      <c r="H340" s="62"/>
      <c r="I340" s="62"/>
      <c r="J340" s="62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</row>
    <row r="341" spans="1:51" x14ac:dyDescent="0.35">
      <c r="A341" s="62"/>
      <c r="B341" s="62"/>
      <c r="C341" s="196"/>
      <c r="D341" s="196"/>
      <c r="E341" s="196"/>
      <c r="F341" s="62"/>
      <c r="G341" s="197"/>
      <c r="H341" s="62"/>
      <c r="I341" s="62"/>
      <c r="J341" s="62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</row>
    <row r="342" spans="1:51" x14ac:dyDescent="0.35">
      <c r="A342" s="62"/>
      <c r="B342" s="62"/>
      <c r="C342" s="196"/>
      <c r="D342" s="196"/>
      <c r="E342" s="196"/>
      <c r="F342" s="62"/>
      <c r="G342" s="197"/>
      <c r="H342" s="62"/>
      <c r="I342" s="62"/>
      <c r="J342" s="62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</row>
    <row r="343" spans="1:51" x14ac:dyDescent="0.35">
      <c r="A343" s="62"/>
      <c r="B343" s="62"/>
      <c r="C343" s="196"/>
      <c r="D343" s="196"/>
      <c r="E343" s="196"/>
      <c r="F343" s="62"/>
      <c r="G343" s="197"/>
      <c r="H343" s="62"/>
      <c r="I343" s="62"/>
      <c r="J343" s="62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</row>
    <row r="344" spans="1:51" x14ac:dyDescent="0.35">
      <c r="A344" s="62"/>
      <c r="B344" s="62"/>
      <c r="C344" s="196"/>
      <c r="D344" s="196"/>
      <c r="E344" s="196"/>
      <c r="F344" s="62"/>
      <c r="G344" s="197"/>
      <c r="H344" s="62"/>
      <c r="I344" s="62"/>
      <c r="J344" s="62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</row>
    <row r="345" spans="1:51" x14ac:dyDescent="0.35">
      <c r="A345" s="62"/>
      <c r="B345" s="62"/>
      <c r="C345" s="196"/>
      <c r="D345" s="196"/>
      <c r="E345" s="196"/>
      <c r="F345" s="62"/>
      <c r="G345" s="197"/>
      <c r="H345" s="62"/>
      <c r="I345" s="62"/>
      <c r="J345" s="62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</row>
    <row r="346" spans="1:51" x14ac:dyDescent="0.35">
      <c r="A346" s="62"/>
      <c r="B346" s="62"/>
      <c r="C346" s="196"/>
      <c r="D346" s="196"/>
      <c r="E346" s="196"/>
      <c r="F346" s="62"/>
      <c r="G346" s="197"/>
      <c r="H346" s="62"/>
      <c r="I346" s="62"/>
      <c r="J346" s="62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</row>
    <row r="347" spans="1:51" x14ac:dyDescent="0.35">
      <c r="A347" s="62"/>
      <c r="B347" s="62"/>
      <c r="C347" s="196"/>
      <c r="D347" s="196"/>
      <c r="E347" s="196"/>
      <c r="F347" s="62"/>
      <c r="G347" s="197"/>
      <c r="H347" s="62"/>
      <c r="I347" s="62"/>
      <c r="J347" s="62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</row>
    <row r="348" spans="1:51" x14ac:dyDescent="0.35">
      <c r="A348" s="62"/>
      <c r="B348" s="62"/>
      <c r="C348" s="196"/>
      <c r="D348" s="196"/>
      <c r="E348" s="196"/>
      <c r="F348" s="62"/>
      <c r="G348" s="197"/>
      <c r="H348" s="62"/>
      <c r="I348" s="62"/>
      <c r="J348" s="62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</row>
    <row r="349" spans="1:51" x14ac:dyDescent="0.35">
      <c r="A349" s="62"/>
      <c r="B349" s="62"/>
      <c r="C349" s="196"/>
      <c r="D349" s="196"/>
      <c r="E349" s="196"/>
      <c r="F349" s="62"/>
      <c r="G349" s="197"/>
      <c r="H349" s="62"/>
      <c r="I349" s="62"/>
      <c r="J349" s="62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</row>
    <row r="350" spans="1:51" x14ac:dyDescent="0.35">
      <c r="A350" s="62"/>
      <c r="B350" s="62"/>
      <c r="C350" s="196"/>
      <c r="D350" s="196"/>
      <c r="E350" s="196"/>
      <c r="F350" s="62"/>
      <c r="G350" s="197"/>
      <c r="H350" s="62"/>
      <c r="I350" s="62"/>
      <c r="J350" s="62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</row>
    <row r="351" spans="1:51" x14ac:dyDescent="0.35">
      <c r="A351" s="62"/>
      <c r="B351" s="62"/>
      <c r="C351" s="196"/>
      <c r="D351" s="196"/>
      <c r="E351" s="196"/>
      <c r="F351" s="62"/>
      <c r="G351" s="197"/>
      <c r="H351" s="62"/>
      <c r="I351" s="62"/>
      <c r="J351" s="62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</row>
    <row r="352" spans="1:51" x14ac:dyDescent="0.35">
      <c r="A352" s="62"/>
      <c r="B352" s="62"/>
      <c r="C352" s="196"/>
      <c r="D352" s="196"/>
      <c r="E352" s="196"/>
      <c r="F352" s="62"/>
      <c r="G352" s="197"/>
      <c r="H352" s="62"/>
      <c r="I352" s="62"/>
      <c r="J352" s="62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</row>
    <row r="353" spans="1:51" x14ac:dyDescent="0.35">
      <c r="A353" s="62"/>
      <c r="B353" s="62"/>
      <c r="C353" s="196"/>
      <c r="D353" s="196"/>
      <c r="E353" s="196"/>
      <c r="F353" s="62"/>
      <c r="G353" s="197"/>
      <c r="H353" s="62"/>
      <c r="I353" s="62"/>
      <c r="J353" s="62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</row>
    <row r="354" spans="1:51" x14ac:dyDescent="0.35">
      <c r="A354" s="62"/>
      <c r="B354" s="62"/>
      <c r="C354" s="196"/>
      <c r="D354" s="196"/>
      <c r="E354" s="196"/>
      <c r="F354" s="62"/>
      <c r="G354" s="197"/>
      <c r="H354" s="62"/>
      <c r="I354" s="62"/>
      <c r="J354" s="62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</row>
    <row r="355" spans="1:51" x14ac:dyDescent="0.35">
      <c r="A355" s="62"/>
      <c r="B355" s="62"/>
      <c r="C355" s="196"/>
      <c r="D355" s="196"/>
      <c r="E355" s="196"/>
      <c r="F355" s="62"/>
      <c r="G355" s="197"/>
      <c r="H355" s="62"/>
      <c r="I355" s="62"/>
      <c r="J355" s="62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</row>
  </sheetData>
  <phoneticPr fontId="19" type="noConversion"/>
  <printOptions gridLines="1" gridLinesSet="0"/>
  <pageMargins left="0.75" right="0.75" top="1" bottom="1" header="0.4921259845" footer="0.4921259845"/>
  <pageSetup scale="78" orientation="landscape" horizontalDpi="4294967292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A1:AI45"/>
  <sheetViews>
    <sheetView zoomScale="75" workbookViewId="0"/>
  </sheetViews>
  <sheetFormatPr defaultColWidth="11.61328125" defaultRowHeight="15.5" x14ac:dyDescent="0.35"/>
  <cols>
    <col min="1" max="1" width="11.61328125" customWidth="1"/>
    <col min="2" max="10" width="5.921875" customWidth="1"/>
    <col min="11" max="11" width="6.3046875" customWidth="1"/>
    <col min="12" max="12" width="5.921875" customWidth="1"/>
    <col min="13" max="13" width="6.3046875" customWidth="1"/>
    <col min="14" max="14" width="5.921875" customWidth="1"/>
    <col min="15" max="15" width="6.3046875" customWidth="1"/>
    <col min="16" max="16" width="0" hidden="1" customWidth="1"/>
    <col min="17" max="24" width="5.921875" hidden="1" customWidth="1"/>
    <col min="25" max="25" width="11.61328125" customWidth="1"/>
    <col min="26" max="35" width="5.921875" customWidth="1"/>
  </cols>
  <sheetData>
    <row r="1" spans="1:35" s="189" customFormat="1" ht="26.5" x14ac:dyDescent="0.4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</row>
    <row r="2" spans="1:35" s="189" customFormat="1" ht="17.25" customHeight="1" thickBot="1" x14ac:dyDescent="0.5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</row>
    <row r="3" spans="1:35" ht="17" thickTop="1" x14ac:dyDescent="0.35">
      <c r="A3" s="22" t="s">
        <v>227</v>
      </c>
      <c r="B3" s="23"/>
      <c r="C3" s="23"/>
      <c r="D3" s="23"/>
      <c r="E3" s="23"/>
      <c r="F3" s="23"/>
      <c r="G3" s="23"/>
      <c r="H3" s="23"/>
      <c r="I3" s="23"/>
      <c r="J3" s="23"/>
      <c r="K3" s="24"/>
      <c r="L3" s="23"/>
      <c r="M3" s="24"/>
      <c r="N3" s="23"/>
      <c r="O3" s="24"/>
      <c r="P3" s="22" t="s">
        <v>228</v>
      </c>
      <c r="Q3" s="23"/>
      <c r="R3" s="23"/>
      <c r="S3" s="23"/>
      <c r="T3" s="23"/>
      <c r="U3" s="23"/>
      <c r="V3" s="23"/>
      <c r="W3" s="23"/>
      <c r="X3" s="24"/>
      <c r="Y3" s="22" t="s">
        <v>228</v>
      </c>
      <c r="Z3" s="23"/>
      <c r="AA3" s="23"/>
      <c r="AB3" s="23"/>
      <c r="AC3" s="23"/>
      <c r="AD3" s="23"/>
      <c r="AE3" s="23"/>
      <c r="AF3" s="23"/>
      <c r="AG3" s="23"/>
      <c r="AH3" s="23"/>
      <c r="AI3" s="24"/>
    </row>
    <row r="4" spans="1:35" x14ac:dyDescent="0.35">
      <c r="A4" s="25" t="s">
        <v>229</v>
      </c>
      <c r="B4" s="26"/>
      <c r="C4" s="26"/>
      <c r="D4" s="26"/>
      <c r="E4" s="26"/>
      <c r="F4" s="26"/>
      <c r="G4" s="26"/>
      <c r="H4" s="26"/>
      <c r="I4" s="26"/>
      <c r="J4" s="26"/>
      <c r="K4" s="27"/>
      <c r="L4" s="26"/>
      <c r="M4" s="27"/>
      <c r="N4" s="26"/>
      <c r="O4" s="27"/>
      <c r="P4" s="28" t="s">
        <v>229</v>
      </c>
      <c r="Q4" s="26"/>
      <c r="R4" s="26"/>
      <c r="S4" s="26"/>
      <c r="T4" s="26"/>
      <c r="U4" s="26"/>
      <c r="V4" s="26"/>
      <c r="W4" s="26"/>
      <c r="X4" s="27"/>
      <c r="Y4" s="28" t="s">
        <v>229</v>
      </c>
      <c r="Z4" s="26"/>
      <c r="AA4" s="26"/>
      <c r="AB4" s="26"/>
      <c r="AC4" s="26"/>
      <c r="AD4" s="26"/>
      <c r="AE4" s="26"/>
      <c r="AF4" s="26"/>
      <c r="AG4" s="26"/>
      <c r="AH4" s="26"/>
      <c r="AI4" s="27"/>
    </row>
    <row r="5" spans="1:35" x14ac:dyDescent="0.35">
      <c r="A5" s="28" t="s">
        <v>230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26"/>
      <c r="M5" s="27"/>
      <c r="N5" s="26"/>
      <c r="O5" s="27"/>
      <c r="P5" s="28" t="s">
        <v>231</v>
      </c>
      <c r="Q5" s="26"/>
      <c r="R5" s="26"/>
      <c r="S5" s="26"/>
      <c r="T5" s="26"/>
      <c r="U5" s="26"/>
      <c r="V5" s="26"/>
      <c r="W5" s="26"/>
      <c r="X5" s="27"/>
      <c r="Y5" s="28" t="s">
        <v>232</v>
      </c>
      <c r="Z5" s="26"/>
      <c r="AA5" s="26"/>
      <c r="AB5" s="26"/>
      <c r="AC5" s="26"/>
      <c r="AD5" s="26"/>
      <c r="AE5" s="26"/>
      <c r="AF5" s="26"/>
      <c r="AG5" s="26"/>
      <c r="AH5" s="26"/>
      <c r="AI5" s="27"/>
    </row>
    <row r="6" spans="1:35" x14ac:dyDescent="0.35">
      <c r="A6" s="28" t="s">
        <v>233</v>
      </c>
      <c r="B6" s="26"/>
      <c r="C6" s="26"/>
      <c r="D6" s="26"/>
      <c r="E6" s="26"/>
      <c r="F6" s="26"/>
      <c r="G6" s="26"/>
      <c r="H6" s="26"/>
      <c r="I6" s="26"/>
      <c r="J6" s="26"/>
      <c r="K6" s="27"/>
      <c r="L6" s="26"/>
      <c r="M6" s="27"/>
      <c r="N6" s="26"/>
      <c r="O6" s="27"/>
      <c r="P6" s="28" t="s">
        <v>234</v>
      </c>
      <c r="Q6" s="26"/>
      <c r="R6" s="26"/>
      <c r="S6" s="26"/>
      <c r="T6" s="26"/>
      <c r="U6" s="26"/>
      <c r="V6" s="26"/>
      <c r="W6" s="26"/>
      <c r="X6" s="27"/>
      <c r="Y6" s="29" t="s">
        <v>235</v>
      </c>
      <c r="Z6" s="26"/>
      <c r="AA6" s="26"/>
      <c r="AB6" s="26"/>
      <c r="AC6" s="26"/>
      <c r="AD6" s="26"/>
      <c r="AE6" s="26"/>
      <c r="AF6" s="26"/>
      <c r="AG6" s="26"/>
      <c r="AH6" s="26"/>
      <c r="AI6" s="27"/>
    </row>
    <row r="7" spans="1:35" x14ac:dyDescent="0.35">
      <c r="A7" s="28" t="s">
        <v>236</v>
      </c>
      <c r="B7" s="26"/>
      <c r="C7" s="26"/>
      <c r="D7" s="26"/>
      <c r="E7" s="26"/>
      <c r="F7" s="26"/>
      <c r="G7" s="26"/>
      <c r="H7" s="26"/>
      <c r="I7" s="26"/>
      <c r="J7" s="26"/>
      <c r="K7" s="27"/>
      <c r="L7" s="26"/>
      <c r="M7" s="27"/>
      <c r="N7" s="26"/>
      <c r="O7" s="27"/>
      <c r="P7" s="28" t="s">
        <v>237</v>
      </c>
      <c r="Q7" s="26"/>
      <c r="R7" s="26"/>
      <c r="S7" s="26"/>
      <c r="T7" s="26"/>
      <c r="U7" s="26"/>
      <c r="V7" s="26"/>
      <c r="W7" s="26"/>
      <c r="X7" s="27"/>
      <c r="Y7" s="28" t="s">
        <v>237</v>
      </c>
      <c r="Z7" s="26"/>
      <c r="AA7" s="26"/>
      <c r="AB7" s="26"/>
      <c r="AC7" s="26"/>
      <c r="AD7" s="26"/>
      <c r="AE7" s="26"/>
      <c r="AF7" s="26"/>
      <c r="AG7" s="26"/>
      <c r="AH7" s="26"/>
      <c r="AI7" s="27"/>
    </row>
    <row r="8" spans="1:35" ht="16" thickBot="1" x14ac:dyDescent="0.4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2"/>
      <c r="P8" s="30"/>
      <c r="Q8" s="31"/>
      <c r="R8" s="31"/>
      <c r="S8" s="31"/>
      <c r="T8" s="31"/>
      <c r="U8" s="31"/>
      <c r="V8" s="31"/>
      <c r="W8" s="31"/>
      <c r="X8" s="32"/>
      <c r="Y8" s="30"/>
      <c r="Z8" s="31"/>
      <c r="AA8" s="31"/>
      <c r="AB8" s="31"/>
      <c r="AC8" s="31"/>
      <c r="AD8" s="31"/>
      <c r="AE8" s="31"/>
      <c r="AF8" s="31"/>
      <c r="AG8" s="31"/>
      <c r="AH8" s="31"/>
      <c r="AI8" s="32"/>
    </row>
    <row r="9" spans="1:35" ht="16" thickTop="1" x14ac:dyDescent="0.35">
      <c r="A9" s="171" t="s">
        <v>238</v>
      </c>
      <c r="B9" s="172" t="s">
        <v>239</v>
      </c>
      <c r="C9" s="173"/>
      <c r="D9" s="172" t="s">
        <v>240</v>
      </c>
      <c r="E9" s="173"/>
      <c r="F9" s="172" t="s">
        <v>241</v>
      </c>
      <c r="G9" s="173"/>
      <c r="H9" s="172" t="s">
        <v>242</v>
      </c>
      <c r="I9" s="173"/>
      <c r="J9" s="172" t="s">
        <v>242</v>
      </c>
      <c r="K9" s="173"/>
      <c r="L9" s="172" t="s">
        <v>242</v>
      </c>
      <c r="M9" s="173"/>
      <c r="N9" s="172" t="s">
        <v>242</v>
      </c>
      <c r="O9" s="173"/>
      <c r="P9" s="171" t="s">
        <v>238</v>
      </c>
      <c r="Q9" s="172" t="s">
        <v>239</v>
      </c>
      <c r="R9" s="173"/>
      <c r="S9" s="172" t="s">
        <v>240</v>
      </c>
      <c r="T9" s="173"/>
      <c r="U9" s="172" t="s">
        <v>241</v>
      </c>
      <c r="V9" s="173"/>
      <c r="W9" s="172" t="s">
        <v>242</v>
      </c>
      <c r="X9" s="173"/>
      <c r="Y9" s="171" t="s">
        <v>238</v>
      </c>
      <c r="Z9" s="172" t="s">
        <v>239</v>
      </c>
      <c r="AA9" s="173"/>
      <c r="AB9" s="172" t="s">
        <v>240</v>
      </c>
      <c r="AC9" s="173"/>
      <c r="AD9" s="172" t="s">
        <v>241</v>
      </c>
      <c r="AE9" s="173"/>
      <c r="AF9" s="172" t="s">
        <v>242</v>
      </c>
      <c r="AG9" s="173"/>
      <c r="AH9" s="172" t="s">
        <v>242</v>
      </c>
      <c r="AI9" s="173"/>
    </row>
    <row r="10" spans="1:35" x14ac:dyDescent="0.35">
      <c r="A10" s="174" t="s">
        <v>243</v>
      </c>
      <c r="B10" s="175" t="s">
        <v>244</v>
      </c>
      <c r="C10" s="176"/>
      <c r="D10" s="175" t="s">
        <v>245</v>
      </c>
      <c r="E10" s="176"/>
      <c r="F10" s="175" t="s">
        <v>246</v>
      </c>
      <c r="G10" s="176"/>
      <c r="H10" s="175" t="s">
        <v>247</v>
      </c>
      <c r="I10" s="176"/>
      <c r="J10" s="175" t="s">
        <v>247</v>
      </c>
      <c r="K10" s="176"/>
      <c r="L10" s="175" t="s">
        <v>247</v>
      </c>
      <c r="M10" s="176"/>
      <c r="N10" s="175" t="s">
        <v>247</v>
      </c>
      <c r="O10" s="176"/>
      <c r="P10" s="174" t="s">
        <v>243</v>
      </c>
      <c r="Q10" s="175" t="s">
        <v>244</v>
      </c>
      <c r="R10" s="176"/>
      <c r="S10" s="175" t="s">
        <v>245</v>
      </c>
      <c r="T10" s="176"/>
      <c r="U10" s="175" t="s">
        <v>246</v>
      </c>
      <c r="V10" s="176"/>
      <c r="W10" s="175" t="s">
        <v>247</v>
      </c>
      <c r="X10" s="176"/>
      <c r="Y10" s="174" t="s">
        <v>243</v>
      </c>
      <c r="Z10" s="175" t="s">
        <v>244</v>
      </c>
      <c r="AA10" s="176"/>
      <c r="AB10" s="175" t="s">
        <v>245</v>
      </c>
      <c r="AC10" s="176"/>
      <c r="AD10" s="175" t="s">
        <v>246</v>
      </c>
      <c r="AE10" s="176"/>
      <c r="AF10" s="175" t="s">
        <v>247</v>
      </c>
      <c r="AG10" s="176"/>
      <c r="AH10" s="175" t="s">
        <v>247</v>
      </c>
      <c r="AI10" s="176"/>
    </row>
    <row r="11" spans="1:35" x14ac:dyDescent="0.35">
      <c r="A11" s="177"/>
      <c r="B11" s="178">
        <v>216</v>
      </c>
      <c r="C11" s="179">
        <v>716</v>
      </c>
      <c r="D11" s="178">
        <v>218</v>
      </c>
      <c r="E11" s="179">
        <v>718</v>
      </c>
      <c r="F11" s="178">
        <v>320</v>
      </c>
      <c r="G11" s="179">
        <v>820</v>
      </c>
      <c r="H11" s="178">
        <v>322</v>
      </c>
      <c r="I11" s="179">
        <v>622</v>
      </c>
      <c r="J11" s="178">
        <v>322</v>
      </c>
      <c r="K11" s="179">
        <v>822</v>
      </c>
      <c r="L11" s="178">
        <v>222</v>
      </c>
      <c r="M11" s="179">
        <v>622</v>
      </c>
      <c r="N11" s="178">
        <v>222</v>
      </c>
      <c r="O11" s="179">
        <v>822</v>
      </c>
      <c r="P11" s="177"/>
      <c r="Q11" s="178" t="s">
        <v>248</v>
      </c>
      <c r="R11" s="179" t="s">
        <v>249</v>
      </c>
      <c r="S11" s="178" t="s">
        <v>250</v>
      </c>
      <c r="T11" s="179" t="s">
        <v>251</v>
      </c>
      <c r="U11" s="178" t="s">
        <v>252</v>
      </c>
      <c r="V11" s="179" t="s">
        <v>253</v>
      </c>
      <c r="W11" s="178" t="s">
        <v>254</v>
      </c>
      <c r="X11" s="179" t="s">
        <v>255</v>
      </c>
      <c r="Y11" s="177"/>
      <c r="Z11" s="178" t="s">
        <v>248</v>
      </c>
      <c r="AA11" s="179" t="s">
        <v>249</v>
      </c>
      <c r="AB11" s="178" t="s">
        <v>250</v>
      </c>
      <c r="AC11" s="179" t="s">
        <v>251</v>
      </c>
      <c r="AD11" s="178" t="s">
        <v>252</v>
      </c>
      <c r="AE11" s="179" t="s">
        <v>253</v>
      </c>
      <c r="AF11" s="178" t="s">
        <v>256</v>
      </c>
      <c r="AG11" s="179" t="s">
        <v>255</v>
      </c>
      <c r="AH11" s="178" t="s">
        <v>254</v>
      </c>
      <c r="AI11" s="179" t="s">
        <v>255</v>
      </c>
    </row>
    <row r="12" spans="1:35" x14ac:dyDescent="0.35">
      <c r="A12" s="180" t="s">
        <v>60</v>
      </c>
      <c r="B12" s="181" t="s">
        <v>257</v>
      </c>
      <c r="C12" s="182" t="s">
        <v>258</v>
      </c>
      <c r="D12" s="181" t="s">
        <v>259</v>
      </c>
      <c r="E12" s="182" t="s">
        <v>260</v>
      </c>
      <c r="F12" s="181" t="s">
        <v>261</v>
      </c>
      <c r="G12" s="182" t="s">
        <v>262</v>
      </c>
      <c r="H12" s="181" t="s">
        <v>263</v>
      </c>
      <c r="I12" s="182" t="s">
        <v>264</v>
      </c>
      <c r="J12" s="181" t="s">
        <v>263</v>
      </c>
      <c r="K12" s="182" t="s">
        <v>265</v>
      </c>
      <c r="L12" s="181" t="s">
        <v>153</v>
      </c>
      <c r="M12" s="186" t="s">
        <v>174</v>
      </c>
      <c r="N12" s="181" t="s">
        <v>153</v>
      </c>
      <c r="O12" s="182" t="s">
        <v>265</v>
      </c>
      <c r="P12" s="180" t="s">
        <v>60</v>
      </c>
      <c r="Q12" s="181" t="s">
        <v>266</v>
      </c>
      <c r="R12" s="182" t="s">
        <v>267</v>
      </c>
      <c r="S12" s="181" t="s">
        <v>268</v>
      </c>
      <c r="T12" s="182" t="s">
        <v>269</v>
      </c>
      <c r="U12" s="181" t="s">
        <v>270</v>
      </c>
      <c r="V12" s="182" t="s">
        <v>271</v>
      </c>
      <c r="W12" s="181" t="s">
        <v>272</v>
      </c>
      <c r="X12" s="182" t="s">
        <v>273</v>
      </c>
      <c r="Y12" s="180" t="s">
        <v>60</v>
      </c>
      <c r="Z12" s="181" t="s">
        <v>266</v>
      </c>
      <c r="AA12" s="182" t="s">
        <v>267</v>
      </c>
      <c r="AB12" s="181" t="s">
        <v>268</v>
      </c>
      <c r="AC12" s="182" t="s">
        <v>269</v>
      </c>
      <c r="AD12" s="181" t="s">
        <v>270</v>
      </c>
      <c r="AE12" s="182" t="s">
        <v>271</v>
      </c>
      <c r="AF12" s="183" t="s">
        <v>274</v>
      </c>
      <c r="AG12" s="182" t="s">
        <v>273</v>
      </c>
      <c r="AH12" s="181" t="s">
        <v>272</v>
      </c>
      <c r="AI12" s="182" t="s">
        <v>273</v>
      </c>
    </row>
    <row r="13" spans="1:35" s="40" customFormat="1" x14ac:dyDescent="0.35">
      <c r="A13" s="184" t="s">
        <v>275</v>
      </c>
      <c r="B13" s="36"/>
      <c r="C13" s="37"/>
      <c r="D13" s="36"/>
      <c r="E13" s="37"/>
      <c r="F13" s="36"/>
      <c r="G13" s="37"/>
      <c r="H13" s="36"/>
      <c r="I13" s="37"/>
      <c r="J13" s="36"/>
      <c r="K13" s="37"/>
      <c r="L13" s="36">
        <v>60</v>
      </c>
      <c r="M13" s="37">
        <v>1</v>
      </c>
      <c r="N13" s="36"/>
      <c r="O13" s="37"/>
      <c r="P13" s="35" t="s">
        <v>275</v>
      </c>
      <c r="Q13" s="36">
        <v>78</v>
      </c>
      <c r="R13" s="3">
        <v>2</v>
      </c>
      <c r="S13" s="36"/>
      <c r="T13" s="37"/>
      <c r="U13" s="36"/>
      <c r="V13" s="37"/>
      <c r="W13" s="36"/>
      <c r="X13" s="37"/>
      <c r="Y13" s="184" t="s">
        <v>275</v>
      </c>
      <c r="Z13" s="36">
        <v>77</v>
      </c>
      <c r="AA13" s="3">
        <v>4</v>
      </c>
      <c r="AB13" s="36"/>
      <c r="AC13" s="37"/>
      <c r="AD13" s="36"/>
      <c r="AE13" s="37"/>
      <c r="AF13" s="38"/>
      <c r="AG13" s="39"/>
      <c r="AH13" s="36"/>
      <c r="AI13" s="37"/>
    </row>
    <row r="14" spans="1:35" s="40" customFormat="1" x14ac:dyDescent="0.35">
      <c r="A14" s="180" t="s">
        <v>276</v>
      </c>
      <c r="B14" s="36">
        <v>57</v>
      </c>
      <c r="C14" s="37">
        <v>8</v>
      </c>
      <c r="D14" s="36">
        <v>58</v>
      </c>
      <c r="E14" s="37">
        <v>8</v>
      </c>
      <c r="F14" s="36"/>
      <c r="G14" s="37"/>
      <c r="H14" s="36"/>
      <c r="I14" s="37"/>
      <c r="J14" s="36"/>
      <c r="K14" s="37"/>
      <c r="L14" s="36">
        <v>58</v>
      </c>
      <c r="M14" s="37">
        <v>7</v>
      </c>
      <c r="N14" s="36">
        <v>59</v>
      </c>
      <c r="O14" s="37">
        <v>7</v>
      </c>
      <c r="P14" s="34" t="s">
        <v>276</v>
      </c>
      <c r="Q14" s="36">
        <v>76</v>
      </c>
      <c r="R14" s="37">
        <v>11</v>
      </c>
      <c r="S14" s="36"/>
      <c r="T14" s="37"/>
      <c r="U14" s="36"/>
      <c r="V14" s="37"/>
      <c r="W14" s="36"/>
      <c r="X14" s="37"/>
      <c r="Y14" s="180" t="s">
        <v>276</v>
      </c>
      <c r="Z14" s="36">
        <v>75</v>
      </c>
      <c r="AA14" s="37">
        <v>12</v>
      </c>
      <c r="AB14" s="36"/>
      <c r="AC14" s="37"/>
      <c r="AD14" s="36"/>
      <c r="AE14" s="37"/>
      <c r="AF14" s="38"/>
      <c r="AG14" s="39"/>
      <c r="AH14" s="36"/>
      <c r="AI14" s="37"/>
    </row>
    <row r="15" spans="1:35" s="40" customFormat="1" x14ac:dyDescent="0.35">
      <c r="A15" s="180" t="s">
        <v>277</v>
      </c>
      <c r="B15" s="36">
        <v>55</v>
      </c>
      <c r="C15" s="37">
        <v>14</v>
      </c>
      <c r="D15" s="36">
        <v>56</v>
      </c>
      <c r="E15" s="37">
        <v>14</v>
      </c>
      <c r="F15" s="36"/>
      <c r="G15" s="37"/>
      <c r="H15" s="36"/>
      <c r="I15" s="37"/>
      <c r="J15" s="36"/>
      <c r="K15" s="37"/>
      <c r="L15" s="36">
        <v>56</v>
      </c>
      <c r="M15" s="37">
        <v>14</v>
      </c>
      <c r="N15" s="36">
        <v>57</v>
      </c>
      <c r="O15" s="37">
        <v>13</v>
      </c>
      <c r="P15" s="34" t="s">
        <v>277</v>
      </c>
      <c r="Q15" s="36">
        <v>74</v>
      </c>
      <c r="R15" s="37">
        <v>19</v>
      </c>
      <c r="S15" s="36"/>
      <c r="T15" s="37"/>
      <c r="U15" s="36"/>
      <c r="V15" s="37"/>
      <c r="W15" s="36"/>
      <c r="X15" s="37"/>
      <c r="Y15" s="180" t="s">
        <v>277</v>
      </c>
      <c r="Z15" s="36">
        <v>73</v>
      </c>
      <c r="AA15" s="37">
        <v>21</v>
      </c>
      <c r="AB15" s="36">
        <v>84</v>
      </c>
      <c r="AC15" s="37">
        <v>9</v>
      </c>
      <c r="AD15" s="36"/>
      <c r="AE15" s="37"/>
      <c r="AF15" s="38"/>
      <c r="AG15" s="39"/>
      <c r="AH15" s="36"/>
      <c r="AI15" s="37"/>
    </row>
    <row r="16" spans="1:35" s="40" customFormat="1" x14ac:dyDescent="0.35">
      <c r="A16" s="184" t="s">
        <v>278</v>
      </c>
      <c r="B16" s="36">
        <v>54</v>
      </c>
      <c r="C16" s="37">
        <v>21</v>
      </c>
      <c r="D16" s="36">
        <v>54</v>
      </c>
      <c r="E16" s="37">
        <v>21</v>
      </c>
      <c r="F16" s="36"/>
      <c r="G16" s="37"/>
      <c r="H16" s="36"/>
      <c r="I16" s="37"/>
      <c r="J16" s="36"/>
      <c r="K16" s="37"/>
      <c r="L16" s="36">
        <v>53</v>
      </c>
      <c r="M16" s="37">
        <v>21</v>
      </c>
      <c r="N16" s="36">
        <v>56</v>
      </c>
      <c r="O16" s="37">
        <v>19</v>
      </c>
      <c r="P16" s="35" t="s">
        <v>278</v>
      </c>
      <c r="Q16" s="36">
        <v>72</v>
      </c>
      <c r="R16" s="37">
        <v>28</v>
      </c>
      <c r="S16" s="36">
        <v>82</v>
      </c>
      <c r="T16" s="37">
        <v>18</v>
      </c>
      <c r="U16" s="36">
        <v>99</v>
      </c>
      <c r="V16" s="37">
        <v>0</v>
      </c>
      <c r="W16" s="36"/>
      <c r="X16" s="37"/>
      <c r="Y16" s="184" t="s">
        <v>278</v>
      </c>
      <c r="Z16" s="36">
        <v>71</v>
      </c>
      <c r="AA16" s="37">
        <v>30</v>
      </c>
      <c r="AB16" s="36">
        <v>80</v>
      </c>
      <c r="AC16" s="37">
        <v>20</v>
      </c>
      <c r="AD16" s="36"/>
      <c r="AE16" s="37"/>
      <c r="AF16" s="38"/>
      <c r="AG16" s="39"/>
      <c r="AH16" s="36"/>
      <c r="AI16" s="37"/>
    </row>
    <row r="17" spans="1:35" s="40" customFormat="1" x14ac:dyDescent="0.35">
      <c r="A17" s="184" t="s">
        <v>279</v>
      </c>
      <c r="B17" s="36">
        <v>52</v>
      </c>
      <c r="C17" s="37">
        <v>28</v>
      </c>
      <c r="D17" s="36">
        <v>52</v>
      </c>
      <c r="E17" s="37">
        <v>27</v>
      </c>
      <c r="F17" s="36"/>
      <c r="G17" s="37"/>
      <c r="H17" s="36"/>
      <c r="I17" s="37"/>
      <c r="J17" s="36"/>
      <c r="K17" s="37"/>
      <c r="L17" s="36">
        <v>51</v>
      </c>
      <c r="M17" s="37">
        <v>28</v>
      </c>
      <c r="N17" s="36">
        <v>54</v>
      </c>
      <c r="O17" s="37">
        <v>25</v>
      </c>
      <c r="P17" s="35" t="s">
        <v>279</v>
      </c>
      <c r="Q17" s="36">
        <v>70</v>
      </c>
      <c r="R17" s="37">
        <v>37</v>
      </c>
      <c r="S17" s="36">
        <v>77</v>
      </c>
      <c r="T17" s="37">
        <v>29</v>
      </c>
      <c r="U17" s="36">
        <v>94</v>
      </c>
      <c r="V17" s="37">
        <v>12</v>
      </c>
      <c r="W17" s="36"/>
      <c r="X17" s="37"/>
      <c r="Y17" s="184" t="s">
        <v>279</v>
      </c>
      <c r="Z17" s="36">
        <v>69</v>
      </c>
      <c r="AA17" s="37">
        <v>38</v>
      </c>
      <c r="AB17" s="36">
        <v>75</v>
      </c>
      <c r="AC17" s="37">
        <v>31</v>
      </c>
      <c r="AD17" s="36">
        <v>92</v>
      </c>
      <c r="AE17" s="37">
        <v>14</v>
      </c>
      <c r="AF17" s="38"/>
      <c r="AG17" s="39"/>
      <c r="AH17" s="36"/>
      <c r="AI17" s="37"/>
    </row>
    <row r="18" spans="1:35" s="40" customFormat="1" x14ac:dyDescent="0.35">
      <c r="A18" s="184" t="s">
        <v>280</v>
      </c>
      <c r="B18" s="36">
        <v>50</v>
      </c>
      <c r="C18" s="37">
        <v>34</v>
      </c>
      <c r="D18" s="36">
        <v>50</v>
      </c>
      <c r="E18" s="37">
        <v>34</v>
      </c>
      <c r="F18" s="36"/>
      <c r="G18" s="37"/>
      <c r="H18" s="36"/>
      <c r="I18" s="37"/>
      <c r="J18" s="36"/>
      <c r="K18" s="37"/>
      <c r="L18" s="36">
        <v>49</v>
      </c>
      <c r="M18" s="37">
        <v>35</v>
      </c>
      <c r="N18" s="36">
        <v>53</v>
      </c>
      <c r="O18" s="37">
        <v>31</v>
      </c>
      <c r="P18" s="35" t="s">
        <v>280</v>
      </c>
      <c r="Q18" s="36">
        <v>69</v>
      </c>
      <c r="R18" s="37">
        <v>45</v>
      </c>
      <c r="S18" s="36">
        <v>73</v>
      </c>
      <c r="T18" s="37">
        <v>40</v>
      </c>
      <c r="U18" s="36">
        <v>90</v>
      </c>
      <c r="V18" s="37">
        <v>22</v>
      </c>
      <c r="W18" s="36"/>
      <c r="X18" s="37"/>
      <c r="Y18" s="184" t="s">
        <v>280</v>
      </c>
      <c r="Z18" s="36">
        <v>67</v>
      </c>
      <c r="AA18" s="37">
        <v>47</v>
      </c>
      <c r="AB18" s="36">
        <v>71</v>
      </c>
      <c r="AC18" s="37">
        <v>42</v>
      </c>
      <c r="AD18" s="36">
        <v>87</v>
      </c>
      <c r="AE18" s="37">
        <v>25</v>
      </c>
      <c r="AF18" s="38"/>
      <c r="AG18" s="39"/>
      <c r="AH18" s="36"/>
      <c r="AI18" s="37"/>
    </row>
    <row r="19" spans="1:35" s="40" customFormat="1" x14ac:dyDescent="0.35">
      <c r="A19" s="184" t="s">
        <v>281</v>
      </c>
      <c r="B19" s="36">
        <v>48</v>
      </c>
      <c r="C19" s="37">
        <v>40</v>
      </c>
      <c r="D19" s="36">
        <v>49</v>
      </c>
      <c r="E19" s="37">
        <v>40</v>
      </c>
      <c r="F19" s="36"/>
      <c r="G19" s="37"/>
      <c r="H19" s="36"/>
      <c r="I19" s="37"/>
      <c r="J19" s="36"/>
      <c r="K19" s="37"/>
      <c r="L19" s="36">
        <v>47</v>
      </c>
      <c r="M19" s="37">
        <v>42</v>
      </c>
      <c r="N19" s="36">
        <v>51</v>
      </c>
      <c r="O19" s="37">
        <v>38</v>
      </c>
      <c r="P19" s="35" t="s">
        <v>281</v>
      </c>
      <c r="Q19" s="36">
        <v>67</v>
      </c>
      <c r="R19" s="37">
        <v>54</v>
      </c>
      <c r="S19" s="36">
        <v>70</v>
      </c>
      <c r="T19" s="37">
        <v>50</v>
      </c>
      <c r="U19" s="36">
        <v>86</v>
      </c>
      <c r="V19" s="37">
        <v>33</v>
      </c>
      <c r="W19" s="36">
        <v>102</v>
      </c>
      <c r="X19" s="37">
        <v>16</v>
      </c>
      <c r="Y19" s="184" t="s">
        <v>281</v>
      </c>
      <c r="Z19" s="36">
        <v>65</v>
      </c>
      <c r="AA19" s="37">
        <v>56</v>
      </c>
      <c r="AB19" s="36">
        <v>67</v>
      </c>
      <c r="AC19" s="37">
        <v>53</v>
      </c>
      <c r="AD19" s="36">
        <v>83</v>
      </c>
      <c r="AE19" s="37">
        <v>35</v>
      </c>
      <c r="AF19" s="38"/>
      <c r="AG19" s="39"/>
      <c r="AH19" s="36">
        <v>100</v>
      </c>
      <c r="AI19" s="37">
        <v>18</v>
      </c>
    </row>
    <row r="20" spans="1:35" s="40" customFormat="1" x14ac:dyDescent="0.35">
      <c r="A20" s="180" t="s">
        <v>282</v>
      </c>
      <c r="B20" s="36">
        <v>46</v>
      </c>
      <c r="C20" s="37">
        <v>47</v>
      </c>
      <c r="D20" s="36">
        <v>47</v>
      </c>
      <c r="E20" s="37">
        <v>46</v>
      </c>
      <c r="F20" s="36">
        <v>88</v>
      </c>
      <c r="G20" s="37">
        <v>5</v>
      </c>
      <c r="H20" s="36">
        <v>92</v>
      </c>
      <c r="I20" s="37">
        <v>2</v>
      </c>
      <c r="J20" s="36">
        <v>92</v>
      </c>
      <c r="K20" s="37">
        <v>1</v>
      </c>
      <c r="L20" s="36">
        <v>44</v>
      </c>
      <c r="M20" s="37">
        <v>49</v>
      </c>
      <c r="N20" s="36">
        <v>49</v>
      </c>
      <c r="O20" s="37">
        <v>44</v>
      </c>
      <c r="P20" s="34" t="s">
        <v>282</v>
      </c>
      <c r="Q20" s="36">
        <v>65</v>
      </c>
      <c r="R20" s="37">
        <v>64</v>
      </c>
      <c r="S20" s="36">
        <v>65</v>
      </c>
      <c r="T20" s="37">
        <v>61</v>
      </c>
      <c r="U20" s="36">
        <v>82</v>
      </c>
      <c r="V20" s="37">
        <v>44</v>
      </c>
      <c r="W20" s="36">
        <v>98</v>
      </c>
      <c r="X20" s="37">
        <v>27</v>
      </c>
      <c r="Y20" s="180" t="s">
        <v>282</v>
      </c>
      <c r="Z20" s="36">
        <v>63</v>
      </c>
      <c r="AA20" s="37">
        <v>65</v>
      </c>
      <c r="AB20" s="36">
        <v>63</v>
      </c>
      <c r="AC20" s="37">
        <v>63</v>
      </c>
      <c r="AD20" s="36">
        <v>79</v>
      </c>
      <c r="AE20" s="37">
        <v>46</v>
      </c>
      <c r="AF20" s="38"/>
      <c r="AG20" s="39"/>
      <c r="AH20" s="36">
        <v>95</v>
      </c>
      <c r="AI20" s="37">
        <v>29</v>
      </c>
    </row>
    <row r="21" spans="1:35" s="40" customFormat="1" x14ac:dyDescent="0.35">
      <c r="A21" s="180" t="s">
        <v>283</v>
      </c>
      <c r="B21" s="36">
        <v>45</v>
      </c>
      <c r="C21" s="37">
        <v>53</v>
      </c>
      <c r="D21" s="36">
        <v>45</v>
      </c>
      <c r="E21" s="37">
        <v>53</v>
      </c>
      <c r="F21" s="36">
        <v>85</v>
      </c>
      <c r="G21" s="37">
        <v>13</v>
      </c>
      <c r="H21" s="36">
        <v>87</v>
      </c>
      <c r="I21" s="37">
        <v>11</v>
      </c>
      <c r="J21" s="36">
        <v>89</v>
      </c>
      <c r="K21" s="37">
        <v>9</v>
      </c>
      <c r="L21" s="36">
        <v>42</v>
      </c>
      <c r="M21" s="37">
        <v>56</v>
      </c>
      <c r="N21" s="36">
        <v>48</v>
      </c>
      <c r="O21" s="37">
        <v>50</v>
      </c>
      <c r="P21" s="34" t="s">
        <v>283</v>
      </c>
      <c r="Q21" s="36">
        <v>63</v>
      </c>
      <c r="R21" s="37">
        <v>71</v>
      </c>
      <c r="S21" s="36">
        <v>61</v>
      </c>
      <c r="T21" s="37">
        <v>72</v>
      </c>
      <c r="U21" s="36">
        <v>78</v>
      </c>
      <c r="V21" s="37">
        <v>55</v>
      </c>
      <c r="W21" s="36">
        <v>94</v>
      </c>
      <c r="X21" s="37">
        <v>37</v>
      </c>
      <c r="Y21" s="180" t="s">
        <v>283</v>
      </c>
      <c r="Z21" s="36">
        <v>61</v>
      </c>
      <c r="AA21" s="37">
        <v>73</v>
      </c>
      <c r="AB21" s="36">
        <v>59</v>
      </c>
      <c r="AC21" s="37">
        <v>74</v>
      </c>
      <c r="AD21" s="36">
        <v>75</v>
      </c>
      <c r="AE21" s="37">
        <v>57</v>
      </c>
      <c r="AF21" s="38"/>
      <c r="AG21" s="39"/>
      <c r="AH21" s="36">
        <v>91</v>
      </c>
      <c r="AI21" s="37">
        <v>40</v>
      </c>
    </row>
    <row r="22" spans="1:35" s="40" customFormat="1" x14ac:dyDescent="0.35">
      <c r="A22" s="180" t="s">
        <v>284</v>
      </c>
      <c r="B22" s="36">
        <v>43</v>
      </c>
      <c r="C22" s="37">
        <v>60</v>
      </c>
      <c r="D22" s="36">
        <v>43</v>
      </c>
      <c r="E22" s="37">
        <v>59</v>
      </c>
      <c r="F22" s="36">
        <v>83</v>
      </c>
      <c r="G22" s="37">
        <v>20</v>
      </c>
      <c r="H22" s="36">
        <v>82</v>
      </c>
      <c r="I22" s="37">
        <v>20</v>
      </c>
      <c r="J22" s="36">
        <v>86</v>
      </c>
      <c r="K22" s="37">
        <v>16</v>
      </c>
      <c r="L22" s="36">
        <v>40</v>
      </c>
      <c r="M22" s="37">
        <v>63</v>
      </c>
      <c r="N22" s="36">
        <v>46</v>
      </c>
      <c r="O22" s="37">
        <v>56</v>
      </c>
      <c r="P22" s="34" t="s">
        <v>284</v>
      </c>
      <c r="Q22" s="36">
        <v>61</v>
      </c>
      <c r="R22" s="37">
        <v>80</v>
      </c>
      <c r="S22" s="36">
        <v>57</v>
      </c>
      <c r="T22" s="37">
        <v>83</v>
      </c>
      <c r="U22" s="36">
        <v>74</v>
      </c>
      <c r="V22" s="37">
        <v>65</v>
      </c>
      <c r="W22" s="36">
        <v>90</v>
      </c>
      <c r="X22" s="37">
        <v>48</v>
      </c>
      <c r="Y22" s="180" t="s">
        <v>284</v>
      </c>
      <c r="Z22" s="36">
        <v>59</v>
      </c>
      <c r="AA22" s="37">
        <v>82</v>
      </c>
      <c r="AB22" s="36">
        <v>54</v>
      </c>
      <c r="AC22" s="37">
        <v>85</v>
      </c>
      <c r="AD22" s="36">
        <v>71</v>
      </c>
      <c r="AE22" s="37">
        <v>68</v>
      </c>
      <c r="AF22" s="38"/>
      <c r="AG22" s="39"/>
      <c r="AH22" s="36">
        <v>87</v>
      </c>
      <c r="AI22" s="37">
        <v>51</v>
      </c>
    </row>
    <row r="23" spans="1:35" s="40" customFormat="1" x14ac:dyDescent="0.35">
      <c r="A23" s="180" t="s">
        <v>285</v>
      </c>
      <c r="B23" s="36">
        <v>41</v>
      </c>
      <c r="C23" s="37">
        <v>66</v>
      </c>
      <c r="D23" s="36">
        <v>41</v>
      </c>
      <c r="E23" s="37">
        <v>66</v>
      </c>
      <c r="F23" s="36">
        <v>80</v>
      </c>
      <c r="G23" s="37">
        <v>27</v>
      </c>
      <c r="H23" s="36">
        <v>78</v>
      </c>
      <c r="I23" s="37">
        <v>30</v>
      </c>
      <c r="J23" s="36">
        <v>83</v>
      </c>
      <c r="K23" s="37">
        <v>24</v>
      </c>
      <c r="L23" s="36">
        <v>38</v>
      </c>
      <c r="M23" s="37">
        <v>70</v>
      </c>
      <c r="N23" s="36">
        <v>45</v>
      </c>
      <c r="O23" s="37">
        <v>62</v>
      </c>
      <c r="P23" s="34" t="s">
        <v>285</v>
      </c>
      <c r="Q23" s="36">
        <v>59</v>
      </c>
      <c r="R23" s="37">
        <v>88</v>
      </c>
      <c r="S23" s="36">
        <v>53</v>
      </c>
      <c r="T23" s="37">
        <v>93</v>
      </c>
      <c r="U23" s="36">
        <v>69</v>
      </c>
      <c r="V23" s="37">
        <v>76</v>
      </c>
      <c r="W23" s="36">
        <v>86</v>
      </c>
      <c r="X23" s="37">
        <v>59</v>
      </c>
      <c r="Y23" s="180" t="s">
        <v>285</v>
      </c>
      <c r="Z23" s="36">
        <v>57</v>
      </c>
      <c r="AA23" s="37">
        <v>91</v>
      </c>
      <c r="AB23" s="36">
        <v>50</v>
      </c>
      <c r="AC23" s="37">
        <v>96</v>
      </c>
      <c r="AD23" s="36">
        <v>67</v>
      </c>
      <c r="AE23" s="37">
        <v>79</v>
      </c>
      <c r="AF23" s="38"/>
      <c r="AG23" s="39"/>
      <c r="AH23" s="36">
        <v>83</v>
      </c>
      <c r="AI23" s="37">
        <v>62</v>
      </c>
    </row>
    <row r="24" spans="1:35" s="40" customFormat="1" x14ac:dyDescent="0.35">
      <c r="A24" s="180" t="s">
        <v>286</v>
      </c>
      <c r="B24" s="36">
        <v>39</v>
      </c>
      <c r="C24" s="37">
        <v>73</v>
      </c>
      <c r="D24" s="36">
        <v>40</v>
      </c>
      <c r="E24" s="37">
        <v>72</v>
      </c>
      <c r="F24" s="36">
        <v>77</v>
      </c>
      <c r="G24" s="37">
        <v>35</v>
      </c>
      <c r="H24" s="36">
        <v>73</v>
      </c>
      <c r="I24" s="37">
        <v>39</v>
      </c>
      <c r="J24" s="36">
        <v>80</v>
      </c>
      <c r="K24" s="37">
        <v>31</v>
      </c>
      <c r="L24" s="36">
        <v>35</v>
      </c>
      <c r="M24" s="37">
        <v>76</v>
      </c>
      <c r="N24" s="36">
        <v>43</v>
      </c>
      <c r="O24" s="37">
        <v>68</v>
      </c>
      <c r="P24" s="34" t="s">
        <v>286</v>
      </c>
      <c r="Q24" s="36">
        <v>57</v>
      </c>
      <c r="R24" s="37">
        <v>97</v>
      </c>
      <c r="S24" s="36">
        <v>49</v>
      </c>
      <c r="T24" s="37">
        <v>104</v>
      </c>
      <c r="U24" s="36">
        <v>65</v>
      </c>
      <c r="V24" s="37">
        <v>87</v>
      </c>
      <c r="W24" s="36">
        <v>82</v>
      </c>
      <c r="X24" s="37">
        <v>70</v>
      </c>
      <c r="Y24" s="180" t="s">
        <v>286</v>
      </c>
      <c r="Z24" s="36">
        <v>55</v>
      </c>
      <c r="AA24" s="37">
        <v>99</v>
      </c>
      <c r="AB24" s="36">
        <v>46</v>
      </c>
      <c r="AC24" s="37">
        <v>107</v>
      </c>
      <c r="AD24" s="36">
        <v>62</v>
      </c>
      <c r="AE24" s="37">
        <v>90</v>
      </c>
      <c r="AF24" s="38">
        <v>126</v>
      </c>
      <c r="AG24" s="39">
        <v>26</v>
      </c>
      <c r="AH24" s="36">
        <v>79</v>
      </c>
      <c r="AI24" s="37">
        <v>73</v>
      </c>
    </row>
    <row r="25" spans="1:35" s="40" customFormat="1" x14ac:dyDescent="0.35">
      <c r="A25" s="180" t="s">
        <v>287</v>
      </c>
      <c r="B25" s="36">
        <v>38</v>
      </c>
      <c r="C25" s="37">
        <v>79</v>
      </c>
      <c r="D25" s="36">
        <v>38</v>
      </c>
      <c r="E25" s="37">
        <v>79</v>
      </c>
      <c r="F25" s="36">
        <v>74</v>
      </c>
      <c r="G25" s="37">
        <v>42</v>
      </c>
      <c r="H25" s="36">
        <v>68</v>
      </c>
      <c r="I25" s="37">
        <v>48</v>
      </c>
      <c r="J25" s="36">
        <v>78</v>
      </c>
      <c r="K25" s="37">
        <v>39</v>
      </c>
      <c r="L25" s="36">
        <v>33</v>
      </c>
      <c r="M25" s="37">
        <v>83</v>
      </c>
      <c r="N25" s="36">
        <v>42</v>
      </c>
      <c r="O25" s="37">
        <v>75</v>
      </c>
      <c r="P25" s="34" t="s">
        <v>287</v>
      </c>
      <c r="Q25" s="36">
        <v>55</v>
      </c>
      <c r="R25" s="37">
        <v>106</v>
      </c>
      <c r="S25" s="36">
        <v>45</v>
      </c>
      <c r="T25" s="37">
        <v>115</v>
      </c>
      <c r="U25" s="36">
        <v>61</v>
      </c>
      <c r="V25" s="37">
        <v>98</v>
      </c>
      <c r="W25" s="36">
        <v>77</v>
      </c>
      <c r="X25" s="37">
        <v>81</v>
      </c>
      <c r="Y25" s="180" t="s">
        <v>287</v>
      </c>
      <c r="Z25" s="36">
        <v>53</v>
      </c>
      <c r="AA25" s="37">
        <v>108</v>
      </c>
      <c r="AB25" s="36">
        <v>42</v>
      </c>
      <c r="AC25" s="37">
        <v>118</v>
      </c>
      <c r="AD25" s="36">
        <v>58</v>
      </c>
      <c r="AE25" s="37">
        <v>101</v>
      </c>
      <c r="AF25" s="38">
        <v>119</v>
      </c>
      <c r="AG25" s="39">
        <v>39</v>
      </c>
      <c r="AH25" s="36">
        <v>74</v>
      </c>
      <c r="AI25" s="37">
        <v>84</v>
      </c>
    </row>
    <row r="26" spans="1:35" s="40" customFormat="1" x14ac:dyDescent="0.35">
      <c r="A26" s="180" t="s">
        <v>288</v>
      </c>
      <c r="B26" s="36">
        <v>36</v>
      </c>
      <c r="C26" s="37">
        <v>85</v>
      </c>
      <c r="D26" s="36">
        <v>36</v>
      </c>
      <c r="E26" s="37">
        <v>85</v>
      </c>
      <c r="F26" s="36">
        <v>72</v>
      </c>
      <c r="G26" s="37">
        <v>50</v>
      </c>
      <c r="H26" s="36">
        <v>64</v>
      </c>
      <c r="I26" s="37">
        <v>57</v>
      </c>
      <c r="J26" s="36">
        <v>75</v>
      </c>
      <c r="K26" s="37">
        <v>46</v>
      </c>
      <c r="L26" s="36">
        <v>31</v>
      </c>
      <c r="M26" s="37">
        <v>90</v>
      </c>
      <c r="N26" s="36">
        <v>40</v>
      </c>
      <c r="O26" s="37">
        <v>81</v>
      </c>
      <c r="P26" s="34" t="s">
        <v>288</v>
      </c>
      <c r="Q26" s="36">
        <v>53</v>
      </c>
      <c r="R26" s="37">
        <v>114</v>
      </c>
      <c r="S26" s="36">
        <v>41</v>
      </c>
      <c r="T26" s="37">
        <v>126</v>
      </c>
      <c r="U26" s="36">
        <v>57</v>
      </c>
      <c r="V26" s="37">
        <v>108</v>
      </c>
      <c r="W26" s="36">
        <v>74</v>
      </c>
      <c r="X26" s="37">
        <v>91</v>
      </c>
      <c r="Y26" s="180" t="s">
        <v>288</v>
      </c>
      <c r="Z26" s="36">
        <v>51</v>
      </c>
      <c r="AA26" s="37">
        <v>117</v>
      </c>
      <c r="AB26" s="36">
        <v>38</v>
      </c>
      <c r="AC26" s="37">
        <v>129</v>
      </c>
      <c r="AD26" s="36">
        <v>54</v>
      </c>
      <c r="AE26" s="37">
        <v>112</v>
      </c>
      <c r="AF26" s="38">
        <v>112</v>
      </c>
      <c r="AG26" s="39">
        <v>52</v>
      </c>
      <c r="AH26" s="36">
        <v>70</v>
      </c>
      <c r="AI26" s="37">
        <v>95</v>
      </c>
    </row>
    <row r="27" spans="1:35" s="40" customFormat="1" x14ac:dyDescent="0.35">
      <c r="A27" s="180" t="s">
        <v>289</v>
      </c>
      <c r="B27" s="36">
        <v>34</v>
      </c>
      <c r="C27" s="37">
        <v>92</v>
      </c>
      <c r="D27" s="36">
        <v>34</v>
      </c>
      <c r="E27" s="37">
        <v>92</v>
      </c>
      <c r="F27" s="36">
        <v>69</v>
      </c>
      <c r="G27" s="37">
        <v>57</v>
      </c>
      <c r="H27" s="36">
        <v>59</v>
      </c>
      <c r="I27" s="37">
        <v>67</v>
      </c>
      <c r="J27" s="36">
        <v>72</v>
      </c>
      <c r="K27" s="37">
        <v>54</v>
      </c>
      <c r="L27" s="36">
        <v>29</v>
      </c>
      <c r="M27" s="37">
        <v>97</v>
      </c>
      <c r="N27" s="36">
        <v>39</v>
      </c>
      <c r="O27" s="37">
        <v>87</v>
      </c>
      <c r="P27" s="34" t="s">
        <v>289</v>
      </c>
      <c r="Q27" s="36">
        <v>51</v>
      </c>
      <c r="R27" s="37">
        <v>123</v>
      </c>
      <c r="S27" s="36">
        <v>37</v>
      </c>
      <c r="T27" s="37">
        <v>136</v>
      </c>
      <c r="U27" s="36">
        <v>53</v>
      </c>
      <c r="V27" s="37">
        <v>119</v>
      </c>
      <c r="W27" s="36">
        <v>70</v>
      </c>
      <c r="X27" s="37">
        <v>102</v>
      </c>
      <c r="Y27" s="180" t="s">
        <v>289</v>
      </c>
      <c r="Z27" s="36">
        <v>49</v>
      </c>
      <c r="AA27" s="37">
        <v>125</v>
      </c>
      <c r="AB27" s="36">
        <v>34</v>
      </c>
      <c r="AC27" s="37">
        <v>140</v>
      </c>
      <c r="AD27" s="36">
        <v>50</v>
      </c>
      <c r="AE27" s="37">
        <v>123</v>
      </c>
      <c r="AF27" s="38">
        <v>106</v>
      </c>
      <c r="AG27" s="39">
        <v>66</v>
      </c>
      <c r="AH27" s="36">
        <v>66</v>
      </c>
      <c r="AI27" s="37">
        <v>105</v>
      </c>
    </row>
    <row r="28" spans="1:35" s="40" customFormat="1" x14ac:dyDescent="0.35">
      <c r="A28" s="180" t="s">
        <v>290</v>
      </c>
      <c r="B28" s="36">
        <v>32</v>
      </c>
      <c r="C28" s="37">
        <v>98</v>
      </c>
      <c r="D28" s="36">
        <v>32</v>
      </c>
      <c r="E28" s="37">
        <v>98</v>
      </c>
      <c r="F28" s="36">
        <v>66</v>
      </c>
      <c r="G28" s="37">
        <v>64</v>
      </c>
      <c r="H28" s="36">
        <v>54</v>
      </c>
      <c r="I28" s="37">
        <v>76</v>
      </c>
      <c r="J28" s="36">
        <v>69</v>
      </c>
      <c r="K28" s="37">
        <v>61</v>
      </c>
      <c r="L28" s="36">
        <v>26</v>
      </c>
      <c r="M28" s="37">
        <v>104</v>
      </c>
      <c r="N28" s="36">
        <v>37</v>
      </c>
      <c r="O28" s="37">
        <v>93</v>
      </c>
      <c r="P28" s="34" t="s">
        <v>290</v>
      </c>
      <c r="Q28" s="36">
        <v>50</v>
      </c>
      <c r="R28" s="37">
        <v>131</v>
      </c>
      <c r="S28" s="36">
        <v>33</v>
      </c>
      <c r="T28" s="37">
        <v>147</v>
      </c>
      <c r="U28" s="36">
        <v>49</v>
      </c>
      <c r="V28" s="37">
        <v>130</v>
      </c>
      <c r="W28" s="36">
        <v>65</v>
      </c>
      <c r="X28" s="37">
        <v>113</v>
      </c>
      <c r="Y28" s="180" t="s">
        <v>290</v>
      </c>
      <c r="Z28" s="36">
        <v>47</v>
      </c>
      <c r="AA28" s="37">
        <v>134</v>
      </c>
      <c r="AB28" s="36">
        <v>29</v>
      </c>
      <c r="AC28" s="37">
        <v>151</v>
      </c>
      <c r="AD28" s="36">
        <v>46</v>
      </c>
      <c r="AE28" s="37">
        <v>133</v>
      </c>
      <c r="AF28" s="38">
        <v>99</v>
      </c>
      <c r="AG28" s="39">
        <v>79</v>
      </c>
      <c r="AH28" s="36">
        <v>62</v>
      </c>
      <c r="AI28" s="37">
        <v>116</v>
      </c>
    </row>
    <row r="29" spans="1:35" s="40" customFormat="1" x14ac:dyDescent="0.35">
      <c r="A29" s="180" t="s">
        <v>291</v>
      </c>
      <c r="B29" s="36">
        <v>30</v>
      </c>
      <c r="C29" s="37">
        <v>105</v>
      </c>
      <c r="D29" s="36">
        <v>31</v>
      </c>
      <c r="E29" s="37">
        <v>104</v>
      </c>
      <c r="F29" s="36">
        <v>63</v>
      </c>
      <c r="G29" s="37">
        <v>72</v>
      </c>
      <c r="H29" s="36">
        <v>50</v>
      </c>
      <c r="I29" s="37">
        <v>85</v>
      </c>
      <c r="J29" s="36">
        <v>66</v>
      </c>
      <c r="K29" s="37">
        <v>69</v>
      </c>
      <c r="L29" s="36">
        <v>24</v>
      </c>
      <c r="M29" s="37">
        <v>111</v>
      </c>
      <c r="N29" s="36">
        <v>36</v>
      </c>
      <c r="O29" s="37">
        <v>99</v>
      </c>
      <c r="P29" s="34" t="s">
        <v>291</v>
      </c>
      <c r="Q29" s="36">
        <v>48</v>
      </c>
      <c r="R29" s="37">
        <v>140</v>
      </c>
      <c r="S29" s="36">
        <v>29</v>
      </c>
      <c r="T29" s="37">
        <v>158</v>
      </c>
      <c r="U29" s="36">
        <v>45</v>
      </c>
      <c r="V29" s="37">
        <v>141</v>
      </c>
      <c r="W29" s="36">
        <v>61</v>
      </c>
      <c r="X29" s="37">
        <v>124</v>
      </c>
      <c r="Y29" s="180" t="s">
        <v>291</v>
      </c>
      <c r="Z29" s="36">
        <v>45</v>
      </c>
      <c r="AA29" s="37">
        <v>143</v>
      </c>
      <c r="AB29" s="36">
        <v>25</v>
      </c>
      <c r="AC29" s="37">
        <v>161</v>
      </c>
      <c r="AD29" s="36">
        <v>41</v>
      </c>
      <c r="AE29" s="37">
        <v>144</v>
      </c>
      <c r="AF29" s="38">
        <v>92</v>
      </c>
      <c r="AG29" s="39">
        <v>93</v>
      </c>
      <c r="AH29" s="36">
        <v>58</v>
      </c>
      <c r="AI29" s="37">
        <v>127</v>
      </c>
    </row>
    <row r="30" spans="1:35" s="40" customFormat="1" x14ac:dyDescent="0.35">
      <c r="A30" s="180" t="s">
        <v>292</v>
      </c>
      <c r="B30" s="36">
        <v>29</v>
      </c>
      <c r="C30" s="37">
        <v>111</v>
      </c>
      <c r="D30" s="36">
        <v>29</v>
      </c>
      <c r="E30" s="37">
        <v>111</v>
      </c>
      <c r="F30" s="36">
        <v>61</v>
      </c>
      <c r="G30" s="37">
        <v>79</v>
      </c>
      <c r="H30" s="36">
        <v>45</v>
      </c>
      <c r="I30" s="37">
        <v>95</v>
      </c>
      <c r="J30" s="36">
        <v>63</v>
      </c>
      <c r="K30" s="37">
        <v>76</v>
      </c>
      <c r="L30" s="36">
        <v>22</v>
      </c>
      <c r="M30" s="37">
        <v>118</v>
      </c>
      <c r="N30" s="36">
        <v>34</v>
      </c>
      <c r="O30" s="37">
        <v>106</v>
      </c>
      <c r="P30" s="34" t="s">
        <v>292</v>
      </c>
      <c r="Q30" s="36">
        <v>46</v>
      </c>
      <c r="R30" s="37">
        <v>148</v>
      </c>
      <c r="S30" s="36">
        <v>25</v>
      </c>
      <c r="T30" s="37">
        <v>168</v>
      </c>
      <c r="U30" s="36">
        <v>41</v>
      </c>
      <c r="V30" s="37">
        <v>151</v>
      </c>
      <c r="W30" s="36">
        <v>57</v>
      </c>
      <c r="X30" s="37">
        <v>134</v>
      </c>
      <c r="Y30" s="180" t="s">
        <v>292</v>
      </c>
      <c r="Z30" s="36">
        <v>43</v>
      </c>
      <c r="AA30" s="37">
        <v>152</v>
      </c>
      <c r="AB30" s="36">
        <v>21</v>
      </c>
      <c r="AC30" s="37">
        <v>172</v>
      </c>
      <c r="AD30" s="36">
        <v>37</v>
      </c>
      <c r="AE30" s="37">
        <v>155</v>
      </c>
      <c r="AF30" s="38">
        <v>85</v>
      </c>
      <c r="AG30" s="39">
        <v>106</v>
      </c>
      <c r="AH30" s="36">
        <v>53</v>
      </c>
      <c r="AI30" s="37">
        <v>138</v>
      </c>
    </row>
    <row r="31" spans="1:35" s="40" customFormat="1" x14ac:dyDescent="0.35">
      <c r="A31" s="180" t="s">
        <v>293</v>
      </c>
      <c r="B31" s="36">
        <v>27</v>
      </c>
      <c r="C31" s="37">
        <v>118</v>
      </c>
      <c r="D31" s="36">
        <v>27</v>
      </c>
      <c r="E31" s="37">
        <v>117</v>
      </c>
      <c r="F31" s="36">
        <v>58</v>
      </c>
      <c r="G31" s="37">
        <v>87</v>
      </c>
      <c r="H31" s="36">
        <v>40</v>
      </c>
      <c r="I31" s="37">
        <v>104</v>
      </c>
      <c r="J31" s="36">
        <v>61</v>
      </c>
      <c r="K31" s="37">
        <v>84</v>
      </c>
      <c r="L31" s="36">
        <v>20</v>
      </c>
      <c r="M31" s="37">
        <v>125</v>
      </c>
      <c r="N31" s="36">
        <v>33</v>
      </c>
      <c r="O31" s="37">
        <v>112</v>
      </c>
      <c r="P31" s="34" t="s">
        <v>293</v>
      </c>
      <c r="Q31" s="36">
        <v>44</v>
      </c>
      <c r="R31" s="37">
        <v>157</v>
      </c>
      <c r="S31" s="36">
        <v>21</v>
      </c>
      <c r="T31" s="37">
        <v>179</v>
      </c>
      <c r="U31" s="36">
        <v>37</v>
      </c>
      <c r="V31" s="37">
        <v>162</v>
      </c>
      <c r="W31" s="36">
        <v>53</v>
      </c>
      <c r="X31" s="37">
        <v>145</v>
      </c>
      <c r="Y31" s="180" t="s">
        <v>293</v>
      </c>
      <c r="Z31" s="36">
        <v>41</v>
      </c>
      <c r="AA31" s="37">
        <v>160</v>
      </c>
      <c r="AB31" s="36">
        <v>17</v>
      </c>
      <c r="AC31" s="37">
        <v>183</v>
      </c>
      <c r="AD31" s="36">
        <v>33</v>
      </c>
      <c r="AE31" s="37">
        <v>166</v>
      </c>
      <c r="AF31" s="38">
        <v>79</v>
      </c>
      <c r="AG31" s="39">
        <v>119</v>
      </c>
      <c r="AH31" s="36">
        <v>49</v>
      </c>
      <c r="AI31" s="37">
        <v>149</v>
      </c>
    </row>
    <row r="32" spans="1:35" s="40" customFormat="1" x14ac:dyDescent="0.35">
      <c r="A32" s="180" t="s">
        <v>294</v>
      </c>
      <c r="B32" s="36">
        <v>25</v>
      </c>
      <c r="C32" s="37">
        <v>124</v>
      </c>
      <c r="D32" s="36">
        <v>25</v>
      </c>
      <c r="E32" s="37">
        <v>124</v>
      </c>
      <c r="F32" s="36">
        <v>55</v>
      </c>
      <c r="G32" s="37">
        <v>94</v>
      </c>
      <c r="H32" s="36">
        <v>36</v>
      </c>
      <c r="I32" s="37">
        <v>113</v>
      </c>
      <c r="J32" s="36">
        <v>58</v>
      </c>
      <c r="K32" s="37">
        <v>91</v>
      </c>
      <c r="L32" s="36">
        <v>17</v>
      </c>
      <c r="M32" s="37">
        <v>132</v>
      </c>
      <c r="N32" s="36">
        <v>31</v>
      </c>
      <c r="O32" s="37">
        <v>118</v>
      </c>
      <c r="P32" s="34" t="s">
        <v>294</v>
      </c>
      <c r="Q32" s="36">
        <v>42</v>
      </c>
      <c r="R32" s="37">
        <v>166</v>
      </c>
      <c r="S32" s="36">
        <v>17</v>
      </c>
      <c r="T32" s="37">
        <v>190</v>
      </c>
      <c r="U32" s="36">
        <v>33</v>
      </c>
      <c r="V32" s="37">
        <v>173</v>
      </c>
      <c r="W32" s="36">
        <v>49</v>
      </c>
      <c r="X32" s="37">
        <v>156</v>
      </c>
      <c r="Y32" s="180" t="s">
        <v>294</v>
      </c>
      <c r="Z32" s="36">
        <v>39</v>
      </c>
      <c r="AA32" s="37">
        <v>169</v>
      </c>
      <c r="AB32" s="36">
        <v>13</v>
      </c>
      <c r="AC32" s="37">
        <v>194</v>
      </c>
      <c r="AD32" s="36">
        <v>29</v>
      </c>
      <c r="AE32" s="37">
        <v>177</v>
      </c>
      <c r="AF32" s="38">
        <v>72</v>
      </c>
      <c r="AG32" s="39">
        <v>133</v>
      </c>
      <c r="AH32" s="36">
        <v>45</v>
      </c>
      <c r="AI32" s="37">
        <v>160</v>
      </c>
    </row>
    <row r="33" spans="1:35" s="40" customFormat="1" x14ac:dyDescent="0.35">
      <c r="A33" s="180" t="s">
        <v>295</v>
      </c>
      <c r="B33" s="36">
        <v>23</v>
      </c>
      <c r="C33" s="37">
        <v>130</v>
      </c>
      <c r="D33" s="36">
        <v>23</v>
      </c>
      <c r="E33" s="37">
        <v>130</v>
      </c>
      <c r="F33" s="36">
        <v>52</v>
      </c>
      <c r="G33" s="37">
        <v>101</v>
      </c>
      <c r="H33" s="36">
        <v>31</v>
      </c>
      <c r="I33" s="37">
        <v>123</v>
      </c>
      <c r="J33" s="36">
        <v>55</v>
      </c>
      <c r="K33" s="37">
        <v>99</v>
      </c>
      <c r="L33" s="36">
        <v>15</v>
      </c>
      <c r="M33" s="37">
        <v>139</v>
      </c>
      <c r="N33" s="36">
        <v>30</v>
      </c>
      <c r="O33" s="37">
        <v>124</v>
      </c>
      <c r="P33" s="34" t="s">
        <v>295</v>
      </c>
      <c r="Q33" s="36">
        <v>40</v>
      </c>
      <c r="R33" s="37">
        <v>174</v>
      </c>
      <c r="S33" s="36">
        <v>13</v>
      </c>
      <c r="T33" s="37">
        <v>201</v>
      </c>
      <c r="U33" s="36">
        <v>29</v>
      </c>
      <c r="V33" s="37">
        <v>184</v>
      </c>
      <c r="W33" s="36">
        <v>45</v>
      </c>
      <c r="X33" s="37">
        <v>166</v>
      </c>
      <c r="Y33" s="180" t="s">
        <v>295</v>
      </c>
      <c r="Z33" s="41">
        <v>37</v>
      </c>
      <c r="AA33" s="42">
        <v>178</v>
      </c>
      <c r="AB33" s="41">
        <v>8</v>
      </c>
      <c r="AC33" s="42">
        <v>205</v>
      </c>
      <c r="AD33" s="36">
        <v>25</v>
      </c>
      <c r="AE33" s="37">
        <v>188</v>
      </c>
      <c r="AF33" s="38">
        <v>65</v>
      </c>
      <c r="AG33" s="39">
        <v>146</v>
      </c>
      <c r="AH33" s="36">
        <v>41</v>
      </c>
      <c r="AI33" s="37">
        <v>171</v>
      </c>
    </row>
    <row r="34" spans="1:35" s="40" customFormat="1" x14ac:dyDescent="0.35">
      <c r="A34" s="180" t="s">
        <v>296</v>
      </c>
      <c r="B34" s="36">
        <v>22</v>
      </c>
      <c r="C34" s="37">
        <v>137</v>
      </c>
      <c r="D34" s="36">
        <v>22</v>
      </c>
      <c r="E34" s="37">
        <v>137</v>
      </c>
      <c r="F34" s="36">
        <v>50</v>
      </c>
      <c r="G34" s="37">
        <v>109</v>
      </c>
      <c r="H34" s="36">
        <v>26</v>
      </c>
      <c r="I34" s="37">
        <v>132</v>
      </c>
      <c r="J34" s="36">
        <v>52</v>
      </c>
      <c r="K34" s="37">
        <v>106</v>
      </c>
      <c r="L34" s="36">
        <v>13</v>
      </c>
      <c r="M34" s="37">
        <v>145</v>
      </c>
      <c r="N34" s="36">
        <v>28</v>
      </c>
      <c r="O34" s="37">
        <v>130</v>
      </c>
      <c r="P34" s="34" t="s">
        <v>296</v>
      </c>
      <c r="Q34" s="36"/>
      <c r="R34" s="37"/>
      <c r="S34" s="36"/>
      <c r="T34" s="37"/>
      <c r="U34" s="36">
        <v>25</v>
      </c>
      <c r="V34" s="37">
        <v>194</v>
      </c>
      <c r="W34" s="36">
        <v>41</v>
      </c>
      <c r="X34" s="37">
        <v>177</v>
      </c>
      <c r="Y34" s="180" t="s">
        <v>296</v>
      </c>
      <c r="Z34" s="41">
        <v>35</v>
      </c>
      <c r="AA34" s="42">
        <v>186</v>
      </c>
      <c r="AB34" s="36"/>
      <c r="AC34" s="37"/>
      <c r="AD34" s="36">
        <v>20</v>
      </c>
      <c r="AE34" s="37">
        <v>199</v>
      </c>
      <c r="AF34" s="38">
        <v>59</v>
      </c>
      <c r="AG34" s="39">
        <v>160</v>
      </c>
      <c r="AH34" s="36">
        <v>37</v>
      </c>
      <c r="AI34" s="37">
        <v>182</v>
      </c>
    </row>
    <row r="35" spans="1:35" s="40" customFormat="1" x14ac:dyDescent="0.35">
      <c r="A35" s="180" t="s">
        <v>297</v>
      </c>
      <c r="B35" s="36"/>
      <c r="C35" s="37"/>
      <c r="D35" s="36"/>
      <c r="E35" s="37"/>
      <c r="F35" s="36">
        <v>47</v>
      </c>
      <c r="G35" s="37">
        <v>116</v>
      </c>
      <c r="H35" s="36"/>
      <c r="I35" s="37"/>
      <c r="J35" s="36">
        <v>49</v>
      </c>
      <c r="K35" s="37">
        <v>114</v>
      </c>
      <c r="L35" s="36">
        <v>11</v>
      </c>
      <c r="M35" s="37">
        <v>152</v>
      </c>
      <c r="N35" s="36">
        <v>26</v>
      </c>
      <c r="O35" s="37">
        <v>136</v>
      </c>
      <c r="P35" s="34" t="s">
        <v>297</v>
      </c>
      <c r="Q35" s="36"/>
      <c r="R35" s="37"/>
      <c r="S35" s="36"/>
      <c r="T35" s="37"/>
      <c r="U35" s="36">
        <v>21</v>
      </c>
      <c r="V35" s="37">
        <v>205</v>
      </c>
      <c r="W35" s="36">
        <v>37</v>
      </c>
      <c r="X35" s="37">
        <v>188</v>
      </c>
      <c r="Y35" s="180" t="s">
        <v>297</v>
      </c>
      <c r="Z35" s="41">
        <v>33</v>
      </c>
      <c r="AA35" s="42">
        <v>195</v>
      </c>
      <c r="AB35" s="36"/>
      <c r="AC35" s="37"/>
      <c r="AD35" s="41">
        <v>16</v>
      </c>
      <c r="AE35" s="42">
        <v>210</v>
      </c>
      <c r="AF35" s="43">
        <v>52</v>
      </c>
      <c r="AG35" s="44">
        <v>173</v>
      </c>
      <c r="AH35" s="36">
        <v>33</v>
      </c>
      <c r="AI35" s="37">
        <v>192</v>
      </c>
    </row>
    <row r="36" spans="1:35" s="40" customFormat="1" x14ac:dyDescent="0.35">
      <c r="A36" s="180" t="s">
        <v>298</v>
      </c>
      <c r="B36" s="36"/>
      <c r="C36" s="37"/>
      <c r="D36" s="36"/>
      <c r="E36" s="37"/>
      <c r="F36" s="36">
        <v>44</v>
      </c>
      <c r="G36" s="37">
        <v>124</v>
      </c>
      <c r="H36" s="36"/>
      <c r="I36" s="37"/>
      <c r="J36" s="36">
        <v>46</v>
      </c>
      <c r="K36" s="37">
        <v>121</v>
      </c>
      <c r="L36" s="36">
        <v>8</v>
      </c>
      <c r="M36" s="37">
        <v>159</v>
      </c>
      <c r="N36" s="36">
        <v>25</v>
      </c>
      <c r="O36" s="37">
        <v>143</v>
      </c>
      <c r="P36" s="34" t="s">
        <v>298</v>
      </c>
      <c r="Q36" s="36"/>
      <c r="R36" s="37"/>
      <c r="S36" s="36"/>
      <c r="T36" s="37"/>
      <c r="U36" s="36">
        <v>17</v>
      </c>
      <c r="V36" s="37">
        <v>216</v>
      </c>
      <c r="W36" s="36">
        <v>33</v>
      </c>
      <c r="X36" s="37">
        <v>199</v>
      </c>
      <c r="Y36" s="180" t="s">
        <v>298</v>
      </c>
      <c r="Z36" s="41">
        <v>30</v>
      </c>
      <c r="AA36" s="42">
        <v>204</v>
      </c>
      <c r="AB36" s="36"/>
      <c r="AC36" s="37"/>
      <c r="AD36" s="36"/>
      <c r="AE36" s="37"/>
      <c r="AF36" s="43">
        <v>45</v>
      </c>
      <c r="AG36" s="44">
        <v>186</v>
      </c>
      <c r="AH36" s="36">
        <v>28</v>
      </c>
      <c r="AI36" s="37">
        <v>203</v>
      </c>
    </row>
    <row r="37" spans="1:35" s="40" customFormat="1" x14ac:dyDescent="0.35">
      <c r="A37" s="180" t="s">
        <v>299</v>
      </c>
      <c r="B37" s="36"/>
      <c r="C37" s="37"/>
      <c r="D37" s="36"/>
      <c r="E37" s="37"/>
      <c r="F37" s="36">
        <v>41</v>
      </c>
      <c r="G37" s="37">
        <v>131</v>
      </c>
      <c r="H37" s="36"/>
      <c r="I37" s="37"/>
      <c r="J37" s="36">
        <v>43</v>
      </c>
      <c r="K37" s="37">
        <v>129</v>
      </c>
      <c r="L37" s="36">
        <v>6</v>
      </c>
      <c r="M37" s="37">
        <v>166</v>
      </c>
      <c r="N37" s="36">
        <v>23</v>
      </c>
      <c r="O37" s="37">
        <v>149</v>
      </c>
      <c r="P37" s="34" t="s">
        <v>299</v>
      </c>
      <c r="Q37" s="36"/>
      <c r="R37" s="37"/>
      <c r="S37" s="36"/>
      <c r="T37" s="37"/>
      <c r="U37" s="36">
        <v>13</v>
      </c>
      <c r="V37" s="37">
        <v>226</v>
      </c>
      <c r="W37" s="36">
        <v>29</v>
      </c>
      <c r="X37" s="37">
        <v>209</v>
      </c>
      <c r="Y37" s="180" t="s">
        <v>299</v>
      </c>
      <c r="Z37" s="41">
        <v>28</v>
      </c>
      <c r="AA37" s="42">
        <v>213</v>
      </c>
      <c r="AB37" s="36"/>
      <c r="AC37" s="37"/>
      <c r="AD37" s="36"/>
      <c r="AE37" s="37"/>
      <c r="AF37" s="43">
        <v>39</v>
      </c>
      <c r="AG37" s="44">
        <v>200</v>
      </c>
      <c r="AH37" s="41">
        <v>24</v>
      </c>
      <c r="AI37" s="42">
        <v>214</v>
      </c>
    </row>
    <row r="38" spans="1:35" ht="16" thickBot="1" x14ac:dyDescent="0.4">
      <c r="A38" s="185" t="s">
        <v>300</v>
      </c>
      <c r="B38" s="46"/>
      <c r="C38" s="47"/>
      <c r="D38" s="46"/>
      <c r="E38" s="47"/>
      <c r="F38" s="46">
        <v>39</v>
      </c>
      <c r="G38" s="47">
        <v>138</v>
      </c>
      <c r="H38" s="46"/>
      <c r="I38" s="47"/>
      <c r="J38" s="46">
        <v>41</v>
      </c>
      <c r="K38" s="47">
        <v>136</v>
      </c>
      <c r="L38" s="46">
        <v>4</v>
      </c>
      <c r="M38" s="47">
        <v>173</v>
      </c>
      <c r="N38" s="46">
        <v>22</v>
      </c>
      <c r="O38" s="47">
        <v>155</v>
      </c>
      <c r="P38" s="45" t="s">
        <v>300</v>
      </c>
      <c r="Q38" s="46"/>
      <c r="R38" s="47"/>
      <c r="S38" s="46"/>
      <c r="T38" s="47"/>
      <c r="U38" s="46">
        <v>9</v>
      </c>
      <c r="V38" s="47">
        <v>237</v>
      </c>
      <c r="W38" s="46">
        <v>25</v>
      </c>
      <c r="X38" s="47">
        <v>220</v>
      </c>
      <c r="Y38" s="185" t="s">
        <v>300</v>
      </c>
      <c r="Z38" s="48">
        <v>26</v>
      </c>
      <c r="AA38" s="49">
        <v>221</v>
      </c>
      <c r="AB38" s="46"/>
      <c r="AC38" s="47"/>
      <c r="AD38" s="46"/>
      <c r="AE38" s="47"/>
      <c r="AF38" s="50">
        <v>32</v>
      </c>
      <c r="AG38" s="51">
        <v>213</v>
      </c>
      <c r="AH38" s="48">
        <v>20</v>
      </c>
      <c r="AI38" s="49">
        <v>225</v>
      </c>
    </row>
    <row r="39" spans="1:35" ht="16.5" thickTop="1" thickBot="1" x14ac:dyDescent="0.4">
      <c r="A39" s="6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Y39" s="58"/>
    </row>
    <row r="40" spans="1:35" ht="16" thickTop="1" x14ac:dyDescent="0.35">
      <c r="A40" s="171" t="s">
        <v>20</v>
      </c>
      <c r="B40" s="52" t="s">
        <v>301</v>
      </c>
      <c r="C40" s="53"/>
      <c r="D40" s="52" t="s">
        <v>302</v>
      </c>
      <c r="E40" s="53"/>
      <c r="F40" s="52" t="s">
        <v>303</v>
      </c>
      <c r="G40" s="53"/>
      <c r="H40" s="52" t="s">
        <v>304</v>
      </c>
      <c r="I40" s="53"/>
      <c r="J40" s="52" t="s">
        <v>304</v>
      </c>
      <c r="K40" s="53"/>
      <c r="L40" s="52" t="s">
        <v>304</v>
      </c>
      <c r="M40" s="53"/>
      <c r="N40" s="52" t="s">
        <v>304</v>
      </c>
      <c r="O40" s="53"/>
      <c r="P40" s="33" t="s">
        <v>20</v>
      </c>
      <c r="Q40" s="52" t="s">
        <v>305</v>
      </c>
      <c r="R40" s="53"/>
      <c r="S40" s="52" t="s">
        <v>306</v>
      </c>
      <c r="T40" s="53"/>
      <c r="U40" s="52" t="s">
        <v>307</v>
      </c>
      <c r="V40" s="53"/>
      <c r="W40" s="52" t="s">
        <v>308</v>
      </c>
      <c r="X40" s="53"/>
      <c r="Y40" s="171" t="s">
        <v>20</v>
      </c>
      <c r="Z40" s="52" t="s">
        <v>305</v>
      </c>
      <c r="AA40" s="53"/>
      <c r="AB40" s="52" t="s">
        <v>306</v>
      </c>
      <c r="AC40" s="53"/>
      <c r="AD40" s="52" t="s">
        <v>307</v>
      </c>
      <c r="AE40" s="53"/>
      <c r="AF40" s="52" t="s">
        <v>308</v>
      </c>
      <c r="AG40" s="53"/>
      <c r="AH40" s="52" t="s">
        <v>308</v>
      </c>
      <c r="AI40" s="53"/>
    </row>
    <row r="41" spans="1:35" ht="16" thickBot="1" x14ac:dyDescent="0.4">
      <c r="A41" s="185"/>
      <c r="B41" s="54" t="s">
        <v>309</v>
      </c>
      <c r="C41" s="55"/>
      <c r="D41" s="54" t="s">
        <v>310</v>
      </c>
      <c r="E41" s="55"/>
      <c r="F41" s="54" t="s">
        <v>311</v>
      </c>
      <c r="G41" s="55"/>
      <c r="H41" s="54" t="s">
        <v>309</v>
      </c>
      <c r="I41" s="55"/>
      <c r="J41" s="54" t="s">
        <v>309</v>
      </c>
      <c r="K41" s="55"/>
      <c r="L41" s="54" t="s">
        <v>309</v>
      </c>
      <c r="M41" s="55"/>
      <c r="N41" s="54" t="s">
        <v>309</v>
      </c>
      <c r="O41" s="55"/>
      <c r="P41" s="45"/>
      <c r="Q41" s="56" t="s">
        <v>312</v>
      </c>
      <c r="R41" s="55"/>
      <c r="S41" s="54" t="s">
        <v>313</v>
      </c>
      <c r="T41" s="55"/>
      <c r="U41" s="54" t="s">
        <v>314</v>
      </c>
      <c r="V41" s="55"/>
      <c r="W41" s="54" t="s">
        <v>315</v>
      </c>
      <c r="X41" s="55"/>
      <c r="Y41" s="185"/>
      <c r="Z41" s="56" t="s">
        <v>312</v>
      </c>
      <c r="AA41" s="55"/>
      <c r="AB41" s="54" t="s">
        <v>313</v>
      </c>
      <c r="AC41" s="55"/>
      <c r="AD41" s="54" t="s">
        <v>314</v>
      </c>
      <c r="AE41" s="55"/>
      <c r="AF41" s="54" t="s">
        <v>315</v>
      </c>
      <c r="AG41" s="55"/>
      <c r="AH41" s="54" t="s">
        <v>315</v>
      </c>
      <c r="AI41" s="55"/>
    </row>
    <row r="42" spans="1:35" ht="16.5" thickTop="1" thickBot="1" x14ac:dyDescent="0.4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187"/>
      <c r="AA42" s="26"/>
      <c r="AB42" s="26"/>
      <c r="AC42" s="26"/>
      <c r="AD42" s="26"/>
      <c r="AE42" s="26"/>
      <c r="AF42" s="26"/>
      <c r="AG42" s="26"/>
      <c r="AH42" s="26"/>
      <c r="AI42" s="26"/>
    </row>
    <row r="43" spans="1:35" ht="16" thickTop="1" x14ac:dyDescent="0.35">
      <c r="A43" s="171" t="s">
        <v>316</v>
      </c>
      <c r="B43" s="52" t="s">
        <v>317</v>
      </c>
      <c r="C43" s="53"/>
      <c r="D43" s="52" t="s">
        <v>318</v>
      </c>
      <c r="E43" s="53"/>
      <c r="F43" s="52" t="s">
        <v>319</v>
      </c>
      <c r="G43" s="53"/>
      <c r="H43" s="52" t="s">
        <v>320</v>
      </c>
      <c r="I43" s="53"/>
      <c r="J43" s="52" t="s">
        <v>320</v>
      </c>
      <c r="K43" s="53"/>
      <c r="L43" s="52" t="s">
        <v>320</v>
      </c>
      <c r="M43" s="53"/>
      <c r="N43" s="52" t="s">
        <v>320</v>
      </c>
      <c r="O43" s="53"/>
      <c r="P43" s="33" t="s">
        <v>20</v>
      </c>
      <c r="Q43" s="52" t="s">
        <v>305</v>
      </c>
      <c r="R43" s="53"/>
      <c r="S43" s="52" t="s">
        <v>306</v>
      </c>
      <c r="T43" s="53"/>
      <c r="U43" s="52" t="s">
        <v>307</v>
      </c>
      <c r="V43" s="53"/>
      <c r="W43" s="52" t="s">
        <v>308</v>
      </c>
      <c r="X43" s="53"/>
      <c r="Y43" s="171" t="s">
        <v>316</v>
      </c>
      <c r="Z43" s="52" t="s">
        <v>321</v>
      </c>
      <c r="AA43" s="53"/>
      <c r="AB43" s="52" t="s">
        <v>322</v>
      </c>
      <c r="AC43" s="53"/>
      <c r="AD43" s="52" t="s">
        <v>323</v>
      </c>
      <c r="AE43" s="53"/>
      <c r="AF43" s="52" t="s">
        <v>324</v>
      </c>
      <c r="AG43" s="53"/>
      <c r="AH43" s="52" t="s">
        <v>324</v>
      </c>
      <c r="AI43" s="53"/>
    </row>
    <row r="44" spans="1:35" ht="16" thickBot="1" x14ac:dyDescent="0.4">
      <c r="A44" s="185"/>
      <c r="B44" s="54" t="s">
        <v>325</v>
      </c>
      <c r="C44" s="55"/>
      <c r="D44" s="54" t="s">
        <v>326</v>
      </c>
      <c r="E44" s="55"/>
      <c r="F44" s="54" t="s">
        <v>327</v>
      </c>
      <c r="G44" s="55"/>
      <c r="H44" s="54" t="s">
        <v>328</v>
      </c>
      <c r="I44" s="55"/>
      <c r="J44" s="54" t="s">
        <v>328</v>
      </c>
      <c r="K44" s="55"/>
      <c r="L44" s="54" t="s">
        <v>328</v>
      </c>
      <c r="M44" s="55"/>
      <c r="N44" s="54" t="s">
        <v>328</v>
      </c>
      <c r="O44" s="55"/>
      <c r="P44" s="45"/>
      <c r="Q44" s="56" t="s">
        <v>312</v>
      </c>
      <c r="R44" s="55"/>
      <c r="S44" s="54" t="s">
        <v>313</v>
      </c>
      <c r="T44" s="55"/>
      <c r="U44" s="54" t="s">
        <v>314</v>
      </c>
      <c r="V44" s="55"/>
      <c r="W44" s="54" t="s">
        <v>315</v>
      </c>
      <c r="X44" s="55"/>
      <c r="Y44" s="185"/>
      <c r="Z44" s="54" t="s">
        <v>329</v>
      </c>
      <c r="AA44" s="55"/>
      <c r="AB44" s="54" t="s">
        <v>330</v>
      </c>
      <c r="AC44" s="55"/>
      <c r="AD44" s="54" t="s">
        <v>331</v>
      </c>
      <c r="AE44" s="55"/>
      <c r="AF44" s="54" t="s">
        <v>332</v>
      </c>
      <c r="AG44" s="55"/>
      <c r="AH44" s="54" t="s">
        <v>332</v>
      </c>
      <c r="AI44" s="55"/>
    </row>
    <row r="45" spans="1:35" ht="16" thickTop="1" x14ac:dyDescent="0.35"/>
  </sheetData>
  <sheetProtection password="CF1F" sheet="1" objects="1" scenarios="1"/>
  <phoneticPr fontId="19" type="noConversion"/>
  <printOptions horizontalCentered="1" verticalCentered="1"/>
  <pageMargins left="0.48" right="0.52" top="0.94" bottom="1.02" header="0.4921259845" footer="0.41"/>
  <pageSetup scale="57" orientation="landscape" horizontalDpi="4294967292" verticalDpi="0" r:id="rId1"/>
  <headerFooter alignWithMargins="0">
    <oddFooter xml:space="preserve">&amp;L&amp;9EG:\NARCO\FORM\&amp;F / &amp;A&amp;C&amp;9&amp;D&amp;12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RATIO</vt:lpstr>
      <vt:lpstr>BEST COMBINATION</vt:lpstr>
      <vt:lpstr>COMBINATIONS</vt:lpstr>
      <vt:lpstr>1 ET 2</vt:lpstr>
      <vt:lpstr>3 ET 4</vt:lpstr>
      <vt:lpstr>SIZE</vt:lpstr>
      <vt:lpstr>TABLE</vt:lpstr>
      <vt:lpstr>COMB_ISO</vt:lpstr>
      <vt:lpstr>COMB_VDZ</vt:lpstr>
      <vt:lpstr>ISO</vt:lpstr>
      <vt:lpstr>'BEST COMBINATION'!Print_Area</vt:lpstr>
      <vt:lpstr>RATIO!Print_Area</vt:lpstr>
      <vt:lpstr>SIZE!Print_Area</vt:lpstr>
      <vt:lpstr>TABLE!Print_Area</vt:lpstr>
      <vt:lpstr>RATIO!Print_Area_MI</vt:lpstr>
      <vt:lpstr>SHAPE</vt:lpstr>
      <vt:lpstr>VDZ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Smenda / Refractory Concepts &amp; Design</dc:creator>
  <cp:lastModifiedBy>warda</cp:lastModifiedBy>
  <cp:lastPrinted>1999-09-27T18:48:41Z</cp:lastPrinted>
  <dcterms:created xsi:type="dcterms:W3CDTF">1997-12-22T18:25:15Z</dcterms:created>
  <dcterms:modified xsi:type="dcterms:W3CDTF">2020-12-02T16:56:52Z</dcterms:modified>
</cp:coreProperties>
</file>